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3-24/"/>
    </mc:Choice>
  </mc:AlternateContent>
  <xr:revisionPtr revIDLastSave="11" documentId="8_{8D87FBCC-D1C1-4D15-B42A-3FCE3AC1C472}" xr6:coauthVersionLast="47" xr6:coauthVersionMax="47" xr10:uidLastSave="{98D462A6-B061-4E2C-A296-47BF934C76DA}"/>
  <workbookProtection workbookAlgorithmName="SHA-512" workbookHashValue="VhsYf2empI+novHrgSIqZ2cJndU/xaV7gPhN1Nl4FnfbV1Q0YJQ2/iFbZBQaFMluQEg2tTUtwlfB24EleeWgOw==" workbookSaltValue="soMV+sjDxOwLPh5/OCd8sw==" workbookSpinCount="100000" lockStructure="1"/>
  <bookViews>
    <workbookView xWindow="-10665" yWindow="-21720" windowWidth="51840" windowHeight="21120" xr2:uid="{36456768-94C4-4F78-9FED-97ABE6D4F41B}"/>
  </bookViews>
  <sheets>
    <sheet name="VERIFICATION" sheetId="1" r:id="rId1"/>
    <sheet name="VALIDATIONS DE DONNEES" sheetId="2" state="hidden" r:id="rId2"/>
    <sheet name="Min_F" sheetId="3" state="hidden" r:id="rId3"/>
    <sheet name="Min_G" sheetId="4" state="hidden" r:id="rId4"/>
    <sheet name="Sources" sheetId="5" state="hidden" r:id="rId5"/>
  </sheets>
  <definedNames>
    <definedName name="_xlnm.Print_Area" localSheetId="0">VERIFICATION!$A$1:$Y$48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" l="1"/>
  <c r="R5" i="1"/>
  <c r="AA3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2" i="3"/>
  <c r="W35" i="1"/>
  <c r="W37" i="1"/>
  <c r="W39" i="1"/>
  <c r="L40" i="1" l="1" a="1"/>
  <c r="L40" i="1" s="1"/>
  <c r="K36" i="1" a="1"/>
  <c r="K36" i="1" s="1"/>
  <c r="N44" i="1"/>
  <c r="L44" i="1"/>
  <c r="R43" i="1" l="1"/>
  <c r="N43" i="1"/>
  <c r="F43" i="1"/>
  <c r="T44" i="1"/>
  <c r="O44" i="1"/>
  <c r="P44" i="1"/>
  <c r="Q44" i="1"/>
  <c r="R44" i="1"/>
  <c r="S44" i="1"/>
  <c r="U44" i="1"/>
  <c r="H44" i="1"/>
  <c r="F44" i="1"/>
  <c r="N45" i="1" l="1"/>
  <c r="N46" i="1" s="1"/>
  <c r="F45" i="1"/>
  <c r="F46" i="1" s="1"/>
  <c r="R45" i="1"/>
  <c r="R46" i="1" s="1"/>
  <c r="I40" i="1" a="1"/>
  <c r="I40" i="1" s="1"/>
  <c r="I60" i="1" s="1"/>
  <c r="I38" i="1" a="1"/>
  <c r="I38" i="1" s="1"/>
  <c r="I59" i="1" s="1"/>
  <c r="I36" i="1" a="1"/>
  <c r="I36" i="1" s="1"/>
  <c r="I58" i="1" s="1"/>
  <c r="I34" i="1" a="1"/>
  <c r="I34" i="1" s="1"/>
  <c r="I57" i="1" s="1"/>
  <c r="I32" i="1" a="1"/>
  <c r="I32" i="1" s="1"/>
  <c r="I56" i="1" s="1"/>
  <c r="I30" i="1" a="1"/>
  <c r="I30" i="1" s="1"/>
  <c r="I55" i="1" s="1"/>
  <c r="I28" i="1" a="1"/>
  <c r="I28" i="1" s="1"/>
  <c r="I54" i="1" s="1"/>
  <c r="I26" i="1" a="1"/>
  <c r="I26" i="1" s="1"/>
  <c r="I53" i="1" s="1"/>
  <c r="I24" i="1" a="1"/>
  <c r="I24" i="1" s="1"/>
  <c r="I52" i="1" s="1"/>
  <c r="H24" i="1" a="1"/>
  <c r="H24" i="1" s="1"/>
  <c r="H52" i="1" s="1"/>
  <c r="E25" i="1"/>
  <c r="W25" i="1" s="1"/>
  <c r="E27" i="1"/>
  <c r="W27" i="1" s="1"/>
  <c r="E29" i="1"/>
  <c r="W29" i="1" s="1"/>
  <c r="E31" i="1"/>
  <c r="W31" i="1" s="1"/>
  <c r="E33" i="1"/>
  <c r="W33" i="1" s="1"/>
  <c r="E35" i="1"/>
  <c r="E37" i="1"/>
  <c r="E39" i="1"/>
  <c r="E23" i="1"/>
  <c r="U32" i="1" a="1"/>
  <c r="U32" i="1" s="1"/>
  <c r="U56" i="1" s="1"/>
  <c r="T32" i="1" a="1"/>
  <c r="T32" i="1" s="1"/>
  <c r="T5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K32" i="1" a="1"/>
  <c r="K32" i="1" s="1"/>
  <c r="K56" i="1" s="1"/>
  <c r="J32" i="1" a="1"/>
  <c r="J32" i="1" s="1"/>
  <c r="J56" i="1" s="1"/>
  <c r="H32" i="1" a="1"/>
  <c r="H32" i="1" s="1"/>
  <c r="H56" i="1" s="1"/>
  <c r="G32" i="1" a="1"/>
  <c r="G32" i="1" s="1"/>
  <c r="G56" i="1" s="1"/>
  <c r="F32" i="1" a="1"/>
  <c r="F32" i="1" s="1"/>
  <c r="F56" i="1" s="1"/>
  <c r="U30" i="1" a="1"/>
  <c r="U30" i="1" s="1"/>
  <c r="U55" i="1" s="1"/>
  <c r="T30" i="1" a="1"/>
  <c r="T30" i="1" s="1"/>
  <c r="T55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O30" i="1" a="1"/>
  <c r="O30" i="1" s="1"/>
  <c r="O55" i="1" s="1"/>
  <c r="N30" i="1" a="1"/>
  <c r="N30" i="1" s="1"/>
  <c r="N55" i="1" s="1"/>
  <c r="M30" i="1" a="1"/>
  <c r="M30" i="1" s="1"/>
  <c r="M55" i="1" s="1"/>
  <c r="L30" i="1" a="1"/>
  <c r="L30" i="1" s="1"/>
  <c r="L55" i="1" s="1"/>
  <c r="K30" i="1" a="1"/>
  <c r="K30" i="1" s="1"/>
  <c r="K55" i="1" s="1"/>
  <c r="J30" i="1" a="1"/>
  <c r="J30" i="1" s="1"/>
  <c r="J55" i="1" s="1"/>
  <c r="H30" i="1" a="1"/>
  <c r="H30" i="1" s="1"/>
  <c r="H55" i="1" s="1"/>
  <c r="G30" i="1" a="1"/>
  <c r="G30" i="1" s="1"/>
  <c r="G55" i="1" s="1"/>
  <c r="F30" i="1" a="1"/>
  <c r="F30" i="1" s="1"/>
  <c r="F55" i="1" s="1"/>
  <c r="U28" i="1" a="1"/>
  <c r="U28" i="1" s="1"/>
  <c r="U54" i="1" s="1"/>
  <c r="T28" i="1" a="1"/>
  <c r="T28" i="1" s="1"/>
  <c r="T54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K28" i="1" a="1"/>
  <c r="K28" i="1" s="1"/>
  <c r="K54" i="1" s="1"/>
  <c r="J28" i="1" a="1"/>
  <c r="J28" i="1" s="1"/>
  <c r="J54" i="1" s="1"/>
  <c r="H28" i="1" a="1"/>
  <c r="H28" i="1" s="1"/>
  <c r="H54" i="1" s="1"/>
  <c r="G28" i="1" a="1"/>
  <c r="G28" i="1" s="1"/>
  <c r="G54" i="1" s="1"/>
  <c r="F28" i="1" a="1"/>
  <c r="F28" i="1" s="1"/>
  <c r="F54" i="1" s="1"/>
  <c r="U5" i="1" l="1"/>
  <c r="X23" i="1"/>
  <c r="Z23" i="1" s="1"/>
  <c r="W23" i="1"/>
  <c r="V41" i="1" s="1"/>
  <c r="V42" i="1" s="1"/>
  <c r="V19" i="1" a="1"/>
  <c r="V19" i="1" s="1"/>
  <c r="Y50" i="1" s="1"/>
  <c r="V54" i="1" s="1"/>
  <c r="X39" i="1"/>
  <c r="Z39" i="1" s="1"/>
  <c r="X25" i="1"/>
  <c r="Z25" i="1" s="1"/>
  <c r="X35" i="1"/>
  <c r="Z35" i="1" s="1"/>
  <c r="X33" i="1"/>
  <c r="Z33" i="1" s="1"/>
  <c r="X31" i="1"/>
  <c r="Z31" i="1" s="1"/>
  <c r="X27" i="1"/>
  <c r="Z27" i="1" s="1"/>
  <c r="X37" i="1"/>
  <c r="Z37" i="1" s="1"/>
  <c r="X29" i="1"/>
  <c r="Z29" i="1" s="1"/>
  <c r="P55" i="1"/>
  <c r="Q47" i="1"/>
  <c r="P47" i="1"/>
  <c r="O47" i="1"/>
  <c r="N47" i="1"/>
  <c r="U47" i="1"/>
  <c r="T47" i="1"/>
  <c r="S47" i="1"/>
  <c r="R47" i="1"/>
  <c r="H47" i="1"/>
  <c r="F47" i="1"/>
  <c r="L47" i="1"/>
  <c r="U34" i="1" a="1"/>
  <c r="U34" i="1" s="1"/>
  <c r="U57" i="1" s="1"/>
  <c r="M40" i="1" a="1"/>
  <c r="M40" i="1" s="1"/>
  <c r="M60" i="1" s="1"/>
  <c r="M38" i="1" a="1"/>
  <c r="M38" i="1" s="1"/>
  <c r="M59" i="1" s="1"/>
  <c r="M36" i="1" a="1"/>
  <c r="M36" i="1" s="1"/>
  <c r="M58" i="1" s="1"/>
  <c r="M34" i="1" a="1"/>
  <c r="M34" i="1" s="1"/>
  <c r="M57" i="1" s="1"/>
  <c r="M26" i="1" a="1"/>
  <c r="M26" i="1" s="1"/>
  <c r="M53" i="1" s="1"/>
  <c r="M24" i="1" a="1"/>
  <c r="M24" i="1" s="1"/>
  <c r="M52" i="1" s="1"/>
  <c r="L60" i="1"/>
  <c r="L38" i="1" a="1"/>
  <c r="L38" i="1" s="1"/>
  <c r="L59" i="1" s="1"/>
  <c r="L36" i="1" a="1"/>
  <c r="L36" i="1" s="1"/>
  <c r="L58" i="1" s="1"/>
  <c r="L34" i="1" a="1"/>
  <c r="L34" i="1" s="1"/>
  <c r="L57" i="1" s="1"/>
  <c r="L26" i="1" a="1"/>
  <c r="L26" i="1" s="1"/>
  <c r="L53" i="1" s="1"/>
  <c r="L24" i="1" a="1"/>
  <c r="L24" i="1" s="1"/>
  <c r="L52" i="1" s="1"/>
  <c r="U40" i="1" a="1"/>
  <c r="U40" i="1" s="1"/>
  <c r="U60" i="1" s="1"/>
  <c r="T40" i="1" a="1"/>
  <c r="T40" i="1" s="1"/>
  <c r="T60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K40" i="1" a="1"/>
  <c r="K40" i="1" s="1"/>
  <c r="K60" i="1" s="1"/>
  <c r="J40" i="1" a="1"/>
  <c r="J40" i="1" s="1"/>
  <c r="J60" i="1" s="1"/>
  <c r="H40" i="1" a="1"/>
  <c r="H40" i="1" s="1"/>
  <c r="H60" i="1" s="1"/>
  <c r="G40" i="1" a="1"/>
  <c r="G40" i="1" s="1"/>
  <c r="G60" i="1" s="1"/>
  <c r="F40" i="1" a="1"/>
  <c r="F40" i="1" s="1"/>
  <c r="F60" i="1" s="1"/>
  <c r="U38" i="1" a="1"/>
  <c r="U38" i="1" s="1"/>
  <c r="U59" i="1" s="1"/>
  <c r="T38" i="1" a="1"/>
  <c r="T38" i="1" s="1"/>
  <c r="T59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K38" i="1" a="1"/>
  <c r="K38" i="1" s="1"/>
  <c r="K59" i="1" s="1"/>
  <c r="J38" i="1" a="1"/>
  <c r="J38" i="1" s="1"/>
  <c r="J59" i="1" s="1"/>
  <c r="H38" i="1" a="1"/>
  <c r="H38" i="1" s="1"/>
  <c r="H59" i="1" s="1"/>
  <c r="G38" i="1" a="1"/>
  <c r="G38" i="1" s="1"/>
  <c r="G59" i="1" s="1"/>
  <c r="F38" i="1" a="1"/>
  <c r="F38" i="1" s="1"/>
  <c r="F59" i="1" s="1"/>
  <c r="U36" i="1" a="1"/>
  <c r="U36" i="1" s="1"/>
  <c r="U58" i="1" s="1"/>
  <c r="T36" i="1" a="1"/>
  <c r="T36" i="1" s="1"/>
  <c r="T58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K58" i="1"/>
  <c r="J36" i="1" a="1"/>
  <c r="J36" i="1" s="1"/>
  <c r="J58" i="1" s="1"/>
  <c r="H36" i="1" a="1"/>
  <c r="H36" i="1" s="1"/>
  <c r="H58" i="1" s="1"/>
  <c r="G36" i="1" a="1"/>
  <c r="G36" i="1" s="1"/>
  <c r="G58" i="1" s="1"/>
  <c r="F36" i="1" a="1"/>
  <c r="F36" i="1" s="1"/>
  <c r="F58" i="1" s="1"/>
  <c r="T34" i="1" a="1"/>
  <c r="T34" i="1" s="1"/>
  <c r="T57" i="1" s="1"/>
  <c r="S34" i="1" a="1"/>
  <c r="S34" i="1" s="1"/>
  <c r="S57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K34" i="1" a="1"/>
  <c r="K34" i="1" s="1"/>
  <c r="K57" i="1" s="1"/>
  <c r="J34" i="1" a="1"/>
  <c r="J34" i="1" s="1"/>
  <c r="J57" i="1" s="1"/>
  <c r="H34" i="1" a="1"/>
  <c r="H34" i="1" s="1"/>
  <c r="H57" i="1" s="1"/>
  <c r="G34" i="1" a="1"/>
  <c r="G34" i="1" s="1"/>
  <c r="G57" i="1" s="1"/>
  <c r="F34" i="1" a="1"/>
  <c r="F34" i="1" s="1"/>
  <c r="F57" i="1" s="1"/>
  <c r="U26" i="1" a="1"/>
  <c r="U26" i="1" s="1"/>
  <c r="U53" i="1" s="1"/>
  <c r="T26" i="1" a="1"/>
  <c r="T26" i="1" s="1"/>
  <c r="T53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K26" i="1" a="1"/>
  <c r="K26" i="1" s="1"/>
  <c r="K53" i="1" s="1"/>
  <c r="J26" i="1" a="1"/>
  <c r="J26" i="1" s="1"/>
  <c r="J53" i="1" s="1"/>
  <c r="H26" i="1" a="1"/>
  <c r="H26" i="1" s="1"/>
  <c r="H53" i="1" s="1"/>
  <c r="G26" i="1" a="1"/>
  <c r="G26" i="1" s="1"/>
  <c r="G53" i="1" s="1"/>
  <c r="F26" i="1" a="1"/>
  <c r="F26" i="1" s="1"/>
  <c r="F53" i="1" s="1"/>
  <c r="J24" i="1" a="1"/>
  <c r="J24" i="1" s="1"/>
  <c r="J52" i="1" s="1"/>
  <c r="U24" i="1" a="1"/>
  <c r="U24" i="1" s="1"/>
  <c r="U52" i="1" s="1"/>
  <c r="T24" i="1" a="1"/>
  <c r="T24" i="1" s="1"/>
  <c r="T52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24" i="1" a="1"/>
  <c r="O24" i="1" s="1"/>
  <c r="O52" i="1" s="1"/>
  <c r="N24" i="1" a="1"/>
  <c r="N24" i="1" s="1"/>
  <c r="N52" i="1" s="1"/>
  <c r="K24" i="1" a="1"/>
  <c r="K24" i="1" s="1"/>
  <c r="K52" i="1" s="1"/>
  <c r="G24" i="1" a="1"/>
  <c r="G24" i="1" s="1"/>
  <c r="G52" i="1" s="1"/>
  <c r="F24" i="1" a="1"/>
  <c r="F24" i="1" s="1"/>
  <c r="F52" i="1" s="1"/>
  <c r="L63" i="1" l="1"/>
  <c r="L62" i="1"/>
  <c r="H63" i="1"/>
  <c r="H62" i="1"/>
  <c r="N63" i="1"/>
  <c r="N62" i="1"/>
  <c r="F63" i="1"/>
  <c r="F62" i="1"/>
  <c r="O62" i="1"/>
  <c r="O63" i="1"/>
  <c r="P62" i="1"/>
  <c r="P63" i="1"/>
  <c r="Q62" i="1"/>
  <c r="Q63" i="1"/>
  <c r="R63" i="1"/>
  <c r="R62" i="1"/>
  <c r="S62" i="1"/>
  <c r="S63" i="1"/>
  <c r="H50" i="1"/>
  <c r="F50" i="1"/>
  <c r="N50" i="1"/>
  <c r="T62" i="1"/>
  <c r="T63" i="1"/>
  <c r="L50" i="1"/>
  <c r="U63" i="1"/>
  <c r="U62" i="1"/>
  <c r="R50" i="1"/>
  <c r="S50" i="1"/>
  <c r="T50" i="1"/>
  <c r="U50" i="1"/>
  <c r="O50" i="1"/>
  <c r="P50" i="1"/>
  <c r="Q50" i="1"/>
  <c r="F48" i="1"/>
  <c r="G48" i="1" s="1"/>
  <c r="F61" i="1" l="1"/>
  <c r="F51" i="1"/>
  <c r="O61" i="1"/>
  <c r="N51" i="1"/>
  <c r="N61" i="1"/>
  <c r="S61" i="1"/>
  <c r="R61" i="1"/>
  <c r="R51" i="1"/>
  <c r="S51" i="1"/>
  <c r="O51" i="1"/>
  <c r="G51" i="1"/>
  <c r="V62" i="1" l="1"/>
  <c r="A7" i="1"/>
  <c r="Y49" i="1" l="1"/>
  <c r="K18" i="1" s="1"/>
  <c r="L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<sst xmlns="http://schemas.openxmlformats.org/spreadsheetml/2006/main" count="136" uniqueCount="89">
  <si>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</si>
  <si>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</si>
  <si>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</si>
  <si>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</si>
  <si>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</si>
  <si>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</si>
  <si>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</si>
  <si>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</si>
  <si>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</si>
  <si>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</si>
  <si>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</si>
  <si>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</si>
  <si>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</si>
  <si>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</si>
  <si>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</si>
  <si>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</si>
  <si>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</si>
  <si>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</si>
  <si>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</si>
  <si>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</si>
  <si>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</si>
  <si>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</si>
  <si>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</si>
  <si>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</si>
  <si>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</si>
  <si>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</si>
  <si>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</si>
  <si>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</si>
  <si>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</si>
  <si>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200h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</si>
  <si>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</si>
  <si>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</si>
  <si>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</si>
  <si>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</si>
  <si>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</si>
  <si>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</si>
  <si>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</si>
  <si>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</si>
  <si>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</si>
  <si>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</si>
  <si>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</si>
  <si>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</si>
  <si>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</si>
  <si>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</si>
  <si>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</si>
  <si>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</si>
  <si>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</si>
  <si>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</si>
  <si>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</si>
  <si>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</si>
  <si>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</si>
  <si>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ATHLETISME PLEIN AIR - MINIMES FILLES ET MINIMES GARCONS
VERIFICATION EQUIPE ET TOTAL DES COTATIONS</t>
  </si>
  <si>
    <t>CHAMPIONNAT NATIONAL MF</t>
  </si>
  <si>
    <t>CHAMPIONNAT NATIONAL MG</t>
  </si>
  <si>
    <t>CRITERIUM DE FRANCE MF MG</t>
  </si>
  <si>
    <t>MF</t>
  </si>
  <si>
    <t>MG</t>
  </si>
  <si>
    <t>80m</t>
  </si>
  <si>
    <t>120m</t>
  </si>
  <si>
    <t>80h</t>
  </si>
  <si>
    <t>100h (G)</t>
  </si>
  <si>
    <t>50h (F)</t>
  </si>
  <si>
    <t>1000m</t>
  </si>
  <si>
    <t>2000m</t>
  </si>
  <si>
    <t>80m
Electrique</t>
  </si>
  <si>
    <t>120m
Electrique</t>
  </si>
  <si>
    <t>50m haies Electrique</t>
  </si>
  <si>
    <t>80m haies Electrique</t>
  </si>
  <si>
    <t>200m haies Electrique</t>
  </si>
  <si>
    <t>4 x 60m
Electrique</t>
  </si>
  <si>
    <t>4 x 60m Mixte
Electrique</t>
  </si>
  <si>
    <t>100m Haies 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</si>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</sst>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2" fillId="0" borderId="65" xfId="0" applyFont="1" applyBorder="1" applyAlignment="1">
      <alignment horizontal="center" vertical="center" shrinkToFit="1"/>
    </xf>
    <xf numFmtId="1" fontId="7" fillId="10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2" fillId="0" borderId="70" xfId="0" applyFont="1" applyBorder="1" applyAlignment="1">
      <alignment horizontal="center" vertical="center" shrinkToFit="1"/>
    </xf>
    <xf numFmtId="0" fontId="12" fillId="0" borderId="71" xfId="0" applyFont="1" applyBorder="1" applyAlignment="1">
      <alignment horizontal="center" vertical="center" shrinkToFit="1"/>
    </xf>
    <xf numFmtId="164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6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6" fillId="0" borderId="53" xfId="0" applyFont="1" applyBorder="1" applyAlignment="1">
      <alignment horizontal="left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8" borderId="43" xfId="0" applyNumberFormat="1" applyFont="1" applyFill="1" applyBorder="1" applyAlignment="1" applyProtection="1">
      <alignment horizontal="center" vertical="center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0" fontId="12" fillId="0" borderId="66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8" borderId="38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5" fillId="8" borderId="43" xfId="0" applyFont="1" applyFill="1" applyBorder="1" applyAlignment="1" applyProtection="1">
      <alignment horizontal="center" vertical="center" shrinkToFit="1"/>
      <protection locked="0"/>
    </xf>
    <xf numFmtId="0" fontId="5" fillId="8" borderId="40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7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6" fillId="5" borderId="53" xfId="0" applyFont="1" applyFill="1" applyBorder="1" applyAlignment="1">
      <alignment horizontal="righ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6" fillId="18" borderId="53" xfId="0" applyFont="1" applyFill="1" applyBorder="1" applyAlignment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</cellXfs>
  <cellStyles count="1">
    <cellStyle name="Normal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78"/>
  <sheetViews>
    <sheetView tabSelected="1" zoomScale="90" zoomScaleNormal="90" workbookViewId="0">
      <selection activeCell="C3" sqref="C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1" width="10.109375" customWidth="1"/>
    <col min="22" max="22" width="23.44140625" customWidth="1"/>
    <col min="23" max="23" width="23.44140625" hidden="1" customWidth="1"/>
    <col min="24" max="24" width="3.44140625" customWidth="1"/>
    <col min="26" max="26" width="0" hidden="1" customWidth="1"/>
  </cols>
  <sheetData>
    <row r="1" spans="1:26" ht="66.599999999999994" customHeight="1" thickTop="1" thickBot="1" x14ac:dyDescent="0.7">
      <c r="A1" s="195" t="s">
        <v>51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7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203" t="s">
        <v>43</v>
      </c>
      <c r="B3" s="204"/>
      <c r="C3" s="63"/>
      <c r="D3" s="6"/>
      <c r="E3" s="203" t="s">
        <v>28</v>
      </c>
      <c r="F3" s="204"/>
      <c r="G3" s="204"/>
      <c r="H3" s="204"/>
      <c r="I3" s="90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203" t="s">
        <v>22</v>
      </c>
      <c r="F5" s="204"/>
      <c r="G5" s="204"/>
      <c r="H5" s="220" t="s">
        <v>54</v>
      </c>
      <c r="I5" s="220"/>
      <c r="J5" s="220"/>
      <c r="K5" s="220"/>
      <c r="L5" s="220"/>
      <c r="M5" s="221"/>
      <c r="P5" s="222" t="s">
        <v>23</v>
      </c>
      <c r="Q5" s="223"/>
      <c r="R5" s="230" t="str">
        <f>IF(H5="CHAMPIONNAT NATIONAL MF","FILLES",IF(H5="CHAMPIONNAT NATIONAL MG","GARCONS",IF(H5="CRITERIUM DE FRANCE MF MG","MIXTE (facultatif)","")))</f>
        <v>MIXTE (facultatif)</v>
      </c>
      <c r="S5" s="217"/>
      <c r="T5" s="231"/>
      <c r="U5" s="218" t="str">
        <f>IF(H5="","NON",IF(R5="","NON","OUI"))</f>
        <v>OUI</v>
      </c>
      <c r="V5" s="219"/>
    </row>
    <row r="6" spans="1:26" ht="23.4" x14ac:dyDescent="0.3">
      <c r="A6" s="209" t="s">
        <v>3</v>
      </c>
      <c r="B6" s="210"/>
      <c r="C6" s="211"/>
    </row>
    <row r="7" spans="1:26" s="1" customFormat="1" ht="30" customHeight="1" x14ac:dyDescent="0.3">
      <c r="A7" s="212" t="str">
        <f>IF((OR(Z23="NON",Z25="NON",Z33="NON",Z35="NON",Z37="NON",Z39="NON",D21="NON",V42="NON",F43="NON",N43="NON",R43="NON",F46="NON",N46="NON",R46="NON",G48="NON",U5="NON",Z27="NON",Z29="NON",Z31="NON",F45="NON",N45="NON",R45="NON",F47="NON",H47="NON",L47="NON",N47="NON",O47="NON",P47="NON",Q47="NON",R47="NON",S47="NON",T47="NON",U47="NON")),"NON","OUI")</f>
        <v>NON</v>
      </c>
      <c r="B7" s="213"/>
      <c r="C7" s="214"/>
      <c r="H7" s="215" t="s">
        <v>36</v>
      </c>
      <c r="I7" s="216"/>
      <c r="J7" s="216"/>
      <c r="K7" s="64" t="s">
        <v>35</v>
      </c>
      <c r="L7" s="216" t="str">
        <f>IF(A7="NON","non conforme donc 0",Y49)&amp;" pt(s)"</f>
        <v>non conforme donc 0 pt(s)</v>
      </c>
      <c r="M7" s="224"/>
    </row>
    <row r="8" spans="1:26" s="1" customFormat="1" ht="15" customHeight="1" x14ac:dyDescent="0.3">
      <c r="A8" s="54"/>
      <c r="B8" s="54"/>
      <c r="C8" s="54"/>
      <c r="F8" s="55"/>
      <c r="G8" s="56"/>
      <c r="H8"/>
      <c r="I8"/>
      <c r="J8" s="55"/>
      <c r="K8" s="55"/>
      <c r="L8" s="56"/>
      <c r="M8" s="5"/>
      <c r="Y8" s="57"/>
    </row>
    <row r="9" spans="1:26" s="1" customFormat="1" ht="35.1" customHeight="1" x14ac:dyDescent="0.3">
      <c r="A9" s="148" t="s">
        <v>48</v>
      </c>
      <c r="B9" s="149"/>
      <c r="C9" s="149"/>
      <c r="D9" s="149"/>
      <c r="E9" s="150"/>
      <c r="G9" s="225" t="s">
        <v>15</v>
      </c>
      <c r="H9" s="225"/>
      <c r="I9" s="225"/>
      <c r="J9" s="225"/>
      <c r="K9" s="225"/>
      <c r="L9" s="225"/>
      <c r="M9" s="112" t="s">
        <v>44</v>
      </c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66"/>
    </row>
    <row r="10" spans="1:26" s="1" customFormat="1" ht="35.1" customHeight="1" x14ac:dyDescent="0.3">
      <c r="A10" s="151"/>
      <c r="B10" s="152"/>
      <c r="C10" s="152"/>
      <c r="D10" s="152"/>
      <c r="E10" s="153"/>
      <c r="G10" s="180" t="s">
        <v>21</v>
      </c>
      <c r="H10" s="180"/>
      <c r="I10" s="180"/>
      <c r="J10" s="180"/>
      <c r="K10" s="180"/>
      <c r="L10" s="180"/>
      <c r="M10" s="112" t="s">
        <v>45</v>
      </c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66"/>
    </row>
    <row r="11" spans="1:26" s="1" customFormat="1" ht="35.1" customHeight="1" x14ac:dyDescent="0.3">
      <c r="A11" s="151"/>
      <c r="B11" s="152"/>
      <c r="C11" s="152"/>
      <c r="D11" s="152"/>
      <c r="E11" s="153"/>
      <c r="G11" s="181" t="s">
        <v>27</v>
      </c>
      <c r="H11" s="181"/>
      <c r="I11" s="181"/>
      <c r="J11" s="181"/>
      <c r="K11" s="181"/>
      <c r="L11" s="181"/>
      <c r="M11" s="112" t="s">
        <v>88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66"/>
    </row>
    <row r="12" spans="1:26" s="1" customFormat="1" ht="35.1" customHeight="1" x14ac:dyDescent="0.3">
      <c r="A12" s="151"/>
      <c r="B12" s="152"/>
      <c r="C12" s="152"/>
      <c r="D12" s="152"/>
      <c r="E12" s="153"/>
      <c r="G12" s="185" t="s">
        <v>75</v>
      </c>
      <c r="H12" s="185"/>
      <c r="I12" s="185"/>
      <c r="J12" s="185"/>
      <c r="K12" s="185"/>
      <c r="L12" s="185"/>
      <c r="M12" s="112" t="s">
        <v>78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66"/>
    </row>
    <row r="13" spans="1:26" s="1" customFormat="1" ht="35.1" customHeight="1" x14ac:dyDescent="0.3">
      <c r="A13" s="151"/>
      <c r="B13" s="152"/>
      <c r="C13" s="152"/>
      <c r="D13" s="152"/>
      <c r="E13" s="153"/>
      <c r="G13" s="200" t="s">
        <v>76</v>
      </c>
      <c r="H13" s="200"/>
      <c r="I13" s="200"/>
      <c r="J13" s="200"/>
      <c r="K13" s="200"/>
      <c r="L13" s="200"/>
      <c r="M13" s="112" t="s">
        <v>79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66"/>
    </row>
    <row r="14" spans="1:26" ht="35.1" customHeight="1" x14ac:dyDescent="0.3">
      <c r="A14" s="151"/>
      <c r="B14" s="152"/>
      <c r="C14" s="152"/>
      <c r="D14" s="152"/>
      <c r="E14" s="153"/>
      <c r="G14" s="207" t="s">
        <v>72</v>
      </c>
      <c r="H14" s="207"/>
      <c r="I14" s="207"/>
      <c r="J14" s="207"/>
      <c r="K14" s="207"/>
      <c r="L14" s="207"/>
      <c r="M14" s="112" t="s">
        <v>80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66"/>
    </row>
    <row r="15" spans="1:26" ht="35.1" customHeight="1" x14ac:dyDescent="0.3">
      <c r="A15" s="151"/>
      <c r="B15" s="152"/>
      <c r="C15" s="152"/>
      <c r="D15" s="152"/>
      <c r="E15" s="153"/>
      <c r="G15" s="171" t="s">
        <v>73</v>
      </c>
      <c r="H15" s="172"/>
      <c r="I15" s="172"/>
      <c r="J15" s="172"/>
      <c r="K15" s="172"/>
      <c r="L15" s="173"/>
      <c r="M15" s="112" t="s">
        <v>47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66"/>
    </row>
    <row r="16" spans="1:26" ht="35.1" customHeight="1" x14ac:dyDescent="0.3">
      <c r="A16" s="151"/>
      <c r="B16" s="152"/>
      <c r="C16" s="152"/>
      <c r="D16" s="152"/>
      <c r="E16" s="153"/>
      <c r="G16" s="208" t="s">
        <v>74</v>
      </c>
      <c r="H16" s="208"/>
      <c r="I16" s="208"/>
      <c r="J16" s="208"/>
      <c r="K16" s="208"/>
      <c r="L16" s="208"/>
      <c r="M16" s="112" t="s">
        <v>46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66"/>
    </row>
    <row r="17" spans="1:26" ht="26.1" customHeight="1" thickBot="1" x14ac:dyDescent="0.35">
      <c r="A17" s="151"/>
      <c r="B17" s="152"/>
      <c r="C17" s="152"/>
      <c r="D17" s="152"/>
      <c r="E17" s="153"/>
      <c r="K17" s="144" t="s">
        <v>37</v>
      </c>
      <c r="L17" s="145"/>
    </row>
    <row r="18" spans="1:26" ht="30" customHeight="1" thickTop="1" x14ac:dyDescent="0.3">
      <c r="A18" s="151"/>
      <c r="B18" s="152"/>
      <c r="C18" s="152"/>
      <c r="D18" s="152"/>
      <c r="E18" s="153"/>
      <c r="F18" s="53"/>
      <c r="G18" s="53"/>
      <c r="H18" s="53"/>
      <c r="I18" s="53"/>
      <c r="J18" s="48"/>
      <c r="K18" s="146" t="str">
        <f>Y49&amp;" pt(s)"</f>
        <v>0 pt(s)</v>
      </c>
      <c r="L18" s="147"/>
      <c r="N18" s="48"/>
      <c r="O18" s="48"/>
      <c r="P18" s="48"/>
      <c r="Q18" s="48"/>
      <c r="R18" s="48"/>
      <c r="S18" s="48"/>
      <c r="T18" s="48"/>
      <c r="U18" s="48"/>
      <c r="V18" s="69" t="s">
        <v>49</v>
      </c>
      <c r="W18" s="96"/>
      <c r="X18" s="48"/>
    </row>
    <row r="19" spans="1:26" ht="15" customHeight="1" thickBot="1" x14ac:dyDescent="0.35">
      <c r="A19" s="154"/>
      <c r="B19" s="155"/>
      <c r="C19" s="155"/>
      <c r="D19" s="155"/>
      <c r="E19" s="156"/>
      <c r="V19" s="131" t="str" cm="1">
        <f t="array" ref="V19">IF($V21="","Pas de genre pour le relais donc 0",IF(COUNTA(V23:V40)=0,"Pas de perf donc 0",IF(COUNTA(V23:V40)&lt;4,"Pas assez de membres donc 0",IF(COUNTIF(V23:V40,"x")&gt;6,"Trop de membres donc 0",IF(COUNTA(V23:V40)&gt;6,"Trop de membres donc 0",IF(AND(V21="MG",COUNTIF(W23:W40,"MG")&lt;4),"pas assez de garçons dans le relais MG donc 0",IF(AND(V21="MG",COUNTIF(W23:W40,"MG")&gt;6),"trop de garçons dans le relais MG donc 0",IF(AND(V21="MG",COUNTIF(W23:W40,"MF")&gt;0),"filles dans un relais MG donc 0",IF(AND(V21="MF",COUNTIF(W23:W40,"MF")&lt;4),"pas assez de filles dans le relais MF donc 0",IF(AND(V21="MF",COUNTIF(W23:W40,"MF")&gt;6),"trop de filles dans le relais MF donc 0",IF(AND(V21="MF",COUNTIF(W23:W40,"MG")&gt;0),"garçons dans un relais MF donc 0",IF(AND(V21="MIXTE",OR(COUNTIF(W23:W40,"MF")&lt;2,COUNTIF(W23:W40,"MF")&gt;3,COUNTIF(W23:W40,"MG")&lt;2,COUNTIF(W23:W40,"MG")&gt;3)),"pb nb de garçons et/ou MF dans relais mixte donc 0",IF(COUNTIF(V23:V40,"DSQ")=COUNTA(V23:V40),"DSQ donc 1",IF(AND(COUNTIF(V23:V40,"DSQ")&gt;0,COUNTIF(V23:V40,"DSQ")&lt;&gt;COUNTA(V23:V40)),"perf différentes donc 0",IF(COUNTIF(V23:V40,"ABD")=COUNTA(V23:V40),"ABD donc 1",IF(AND(COUNTIF(V23:V40,"ABD")&gt;0,COUNTIF(V23:V40,"ABD")&lt;&gt;COUNTA(V23:V40)),"perf différentes donc 0",IF(COUNTIF(V23:V40,"NP")=COUNTA(V23:V40),"NP donc 0",IF(AND(COUNTIF(V23:V40,"NP")&gt;0,COUNTIF(V23:V40,"NP")&lt;&gt;COUNTA(V23:V40)),"perf différentes donc 0",IF(COUNTIF(V23:V40,"x")=6,"pas de perf donc 0",IF(AND(COUNTIF(V23:V40,"x")=5,COUNTA(V23:V40)=5),"pas de perf donc 0",IF(AND(COUNTIF(V23:V40,"x")=4,COUNTA(V23:V40)=4),"pas de perf donc 0",IF(AND(COUNTIF(V23:V40,"x")=5,COUNTA(V23:V40)&gt;5),"perf différentes donc 0",IF(AND(COUNTIF(V23:V40,"x")=4,COUNTA(V23:V40)&gt;4),"perf différentes donc 0",IF(AND(COUNTIF(V23:V40,"x")=3,COUNTA(V23:V40)&gt;3),"perf différentes donc 0",IF(AND(COUNTIF(V23:V40,"x")=2,COUNTA(V23:V40)&gt;2),"perf différentes donc 0",IF(AND(COUNTIF(V23:V40,"x")=1,COUNTA(V23:V40)&gt;1),"perf différentes donc 0",IF((_xlfn.XLOOKUP(AVERAGE(V23:V40),V23:V40,V23:V40,0,0,1)&lt;&gt;AVERAGE(V23:V40)),"Perfs du relais différentes donc 0",IF($V21="MF",IF(AVERAGE(V23:V40)&lt;Min_F!R$2,Min_F!$A$2,IF(COUNTIF(Min_F!R:R,AVERAGE(V23:V40))=1,_xlfn.XLOOKUP(AVERAGE(V23:V40),Min_F!R:R,Min_F!$A:$A),INDEX(Min_F!$A:$A,MATCH(AVERAGE(V23:V40),Min_F!R:R)+1))),IF($V21="MG",IF(AVERAGE(V23:V40)&lt;Min_G!R$2,Min_G!$A$2,IF(COUNTIF(Min_G!R:R,AVERAGE(V23:V40))=1,_xlfn.XLOOKUP(AVERAGE(V23:V40),Min_G!R:R,Min_G!$A:$A),INDEX(Min_G!$A:$A,MATCH(AVERAGE(V23:V40),Min_G!R:R)+1))),IF($V21="MIXTE",IF(AVERAGE(V23:V40)&lt;Min_G!S$2,Min_G!$A$2,IF(COUNTIF(Min_G!S:S,AVERAGE(V23:V40))=1,_xlfn.XLOOKUP(AVERAGE(V23:V40),Min_G!S:S,Min_G!$A:$A),INDEX(Min_G!$A:$A,MATCH(AVERAGE(V23:V40),Min_G!S:S)+1))))))))))))))))))))))))))))))))&amp;" pt(s)")</f>
        <v>Pas de genre pour le relais donc 0</v>
      </c>
      <c r="W19" s="55"/>
    </row>
    <row r="20" spans="1:26" ht="30" customHeight="1" thickTop="1" thickBot="1" x14ac:dyDescent="0.35">
      <c r="F20" s="141" t="s">
        <v>12</v>
      </c>
      <c r="G20" s="142"/>
      <c r="H20" s="142"/>
      <c r="I20" s="142"/>
      <c r="J20" s="142"/>
      <c r="K20" s="142"/>
      <c r="L20" s="142"/>
      <c r="M20" s="143"/>
      <c r="N20" s="188" t="s">
        <v>13</v>
      </c>
      <c r="O20" s="189"/>
      <c r="P20" s="189"/>
      <c r="Q20" s="190"/>
      <c r="R20" s="188" t="s">
        <v>14</v>
      </c>
      <c r="S20" s="189"/>
      <c r="T20" s="189"/>
      <c r="U20" s="190"/>
      <c r="V20" s="132"/>
      <c r="W20" s="55"/>
      <c r="Y20" s="93"/>
    </row>
    <row r="21" spans="1:26" ht="30" customHeight="1" thickTop="1" thickBot="1" x14ac:dyDescent="0.35">
      <c r="B21" s="161" t="s">
        <v>20</v>
      </c>
      <c r="C21" s="162"/>
      <c r="D21" s="8" t="str">
        <f>IF(COUNTA(D23:D40)&lt;5,"NON",IF(R5="","genre?",IF(AND(R5="FILLES",OR(((COUNTIF(D23:D40,"F"))&lt;5),(COUNTIF(D23:D40,"G"))&gt;0)),"NON",IF(AND(R5="GARCONS",OR(((COUNTIF(D23:D40,"G"))&lt;5),(COUNTIF(D23:D40,"F"))&gt;0)),"NON",IF(AND(R5="MIXTE (facultatif)",(COUNTIF(D23:D40,"F")+COUNTIF(D23:D40,"G"))&lt;5),"NON","OUI")))))</f>
        <v>NON</v>
      </c>
      <c r="F21" s="184" t="s">
        <v>39</v>
      </c>
      <c r="G21" s="141"/>
      <c r="H21" s="186" t="s">
        <v>40</v>
      </c>
      <c r="I21" s="143"/>
      <c r="J21" s="184"/>
      <c r="K21" s="187"/>
      <c r="L21" s="143" t="s">
        <v>41</v>
      </c>
      <c r="M21" s="184"/>
      <c r="N21" s="191"/>
      <c r="O21" s="192"/>
      <c r="P21" s="192"/>
      <c r="Q21" s="193"/>
      <c r="R21" s="191"/>
      <c r="S21" s="192"/>
      <c r="T21" s="192"/>
      <c r="U21" s="193"/>
      <c r="V21" s="182"/>
      <c r="X21" s="113" t="s">
        <v>16</v>
      </c>
      <c r="Y21" s="114"/>
    </row>
    <row r="22" spans="1:26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36" t="s">
        <v>57</v>
      </c>
      <c r="G22" s="37" t="s">
        <v>58</v>
      </c>
      <c r="H22" s="75" t="s">
        <v>61</v>
      </c>
      <c r="I22" s="40" t="s">
        <v>59</v>
      </c>
      <c r="J22" s="36" t="s">
        <v>60</v>
      </c>
      <c r="K22" s="76" t="s">
        <v>29</v>
      </c>
      <c r="L22" s="40" t="s">
        <v>62</v>
      </c>
      <c r="M22" s="39" t="s">
        <v>63</v>
      </c>
      <c r="N22" s="36" t="s">
        <v>5</v>
      </c>
      <c r="O22" s="36" t="s">
        <v>6</v>
      </c>
      <c r="P22" s="36" t="s">
        <v>4</v>
      </c>
      <c r="Q22" s="38" t="s">
        <v>7</v>
      </c>
      <c r="R22" s="40" t="s">
        <v>8</v>
      </c>
      <c r="S22" s="36" t="s">
        <v>9</v>
      </c>
      <c r="T22" s="36" t="s">
        <v>11</v>
      </c>
      <c r="U22" s="38" t="s">
        <v>10</v>
      </c>
      <c r="V22" s="183"/>
      <c r="W22" s="5" t="s">
        <v>86</v>
      </c>
      <c r="X22" s="115"/>
      <c r="Y22" s="116"/>
      <c r="Z22" s="5" t="s">
        <v>86</v>
      </c>
    </row>
    <row r="23" spans="1:26" ht="30" customHeight="1" thickTop="1" x14ac:dyDescent="0.3">
      <c r="A23" s="117">
        <v>1</v>
      </c>
      <c r="B23" s="119"/>
      <c r="C23" s="119"/>
      <c r="D23" s="121"/>
      <c r="E23" s="123" t="str">
        <f>IF(D23="","",IF(D23="F","MF","MG"))</f>
        <v/>
      </c>
      <c r="F23" s="52"/>
      <c r="G23" s="70"/>
      <c r="H23" s="77"/>
      <c r="I23" s="73"/>
      <c r="J23" s="52"/>
      <c r="K23" s="78"/>
      <c r="L23" s="73"/>
      <c r="M23" s="49"/>
      <c r="N23" s="41"/>
      <c r="O23" s="41"/>
      <c r="P23" s="41"/>
      <c r="Q23" s="42"/>
      <c r="R23" s="43"/>
      <c r="S23" s="41"/>
      <c r="T23" s="41"/>
      <c r="U23" s="42"/>
      <c r="V23" s="176"/>
      <c r="W23" s="194" t="str">
        <f>IF(V23="","",IF(E23="","",E23))</f>
        <v/>
      </c>
      <c r="X23" s="135" t="str">
        <f>IF(AND(E23="",COUNTA(F23:V23)&gt;0),"manque catégorie",IF(E23="","",IF(COUNTA(F23:V23)=0,"NON",IF(COUNTA(F23:U23)&gt;3,"NON",IF(COUNTA(F23:M23)&gt;1,"NON",IF(COUNTA(N23:Q23)&gt;1,"NON",IF(COUNTA(R23:U23)&gt;1,"NON",IF(AND(COUNTA(V23)=1,COUNTA(F23:U23)=0),"NON","OUI"))))))))</f>
        <v/>
      </c>
      <c r="Y23" s="136"/>
      <c r="Z23" s="226" t="str">
        <f>IF(X23="","",IF(X23="manque catégorie","NON",IF(X23="NON","NON","OUI")))</f>
        <v/>
      </c>
    </row>
    <row r="24" spans="1:26" ht="30" customHeight="1" thickBot="1" x14ac:dyDescent="0.35">
      <c r="A24" s="198"/>
      <c r="B24" s="199"/>
      <c r="C24" s="199"/>
      <c r="D24" s="122"/>
      <c r="E24" s="124"/>
      <c r="F24" s="58" t="str" cm="1">
        <f t="array" ref="F24">IF(AND($D23="",F23&lt;&gt;""),"Genre?",IF(F23="","",IF(F23="x",0,IF(F23="DSQ",1,IF(F23="ABD",1,IF(F23="NP",0,IF($D23="F",IF(F23&lt;Min_F!B$2,Min_F!$A$2,IF(COUNTIF(Min_F!B:B,F23)=1,_xlfn.XLOOKUP(F23,Min_F!B:B,Min_F!$A:$A),INDEX(Min_F!$A:$A,MATCH(F23,Min_F!B:B)+1))),IF(F23&lt;Min_G!B$2,Min_G!$A$2,IF(COUNTIF(Min_G!B:B,F23)=1,_xlfn.XLOOKUP(F23,Min_G!B:B,Min_G!$A:$A),INDEX(Min_G!$A:$A,MATCH(F23,Min_G!B:B)+1)))))))))&amp;IF(F23="",""," pt(s)"))</f>
        <v/>
      </c>
      <c r="G24" s="71" t="str" cm="1">
        <f t="array" ref="G24">IF(AND($D23="",G23&lt;&gt;""),"Genre?",IF(G23="","",IF(G23="x",0,IF(G23="DSQ",1,IF(G23="ABD",1,IF(G23="NP",0,IF($D23="F",IF(G23&lt;Min_F!C$2,Min_F!$A$2,IF(COUNTIF(Min_F!C:C,G23)=1,_xlfn.XLOOKUP(G23,Min_F!C:C,Min_F!$A:$A),INDEX(Min_F!$A:$A,MATCH(G23,Min_F!C:C)+1))),IF(G23&lt;Min_G!C$2,Min_G!$A$2,IF(COUNTIF(Min_G!C:C,G23)=1,_xlfn.XLOOKUP(G23,Min_G!C:C,Min_G!$A:$A),INDEX(Min_G!$A:$A,MATCH(G23,Min_G!C:C)+1)))))))))&amp;IF(G23="",""," pt(s)"))</f>
        <v/>
      </c>
      <c r="H24" s="91" t="str" cm="1">
        <f t="array" ref="H24">IF(AND($D23="",H23&lt;&gt;""),"Genre?",IF(H23="","",IF(D23="G","G = 0",IF(H23="x",0,IF(H23="DSQ",1,IF(H23="ABD",1,IF(H23="NP",0,IF($D23="F",IF(H23&lt;Min_F!F$2,Min_F!$A$2,IF(COUNTIF(Min_F!F:F,H23)=1,_xlfn.XLOOKUP(H23,Min_F!F:F,Min_F!$A:$A),INDEX(Min_F!$A:$A,MATCH(H23,Min_F!F:F)+1))),IF(H23&lt;Min_G!F$2,Min_G!$A$2,IF(COUNTIF(Min_G!F:F,H23)=1,_xlfn.XLOOKUP(H23,Min_G!F:F,Min_G!$A:$A),INDEX(Min_G!$A:$A,MATCH(H23,Min_G!F:F)+1))))))))))&amp;IF(H23="",""," pt(s)"))</f>
        <v/>
      </c>
      <c r="I24" s="62" t="str" cm="1">
        <f t="array" ref="I24">IF(AND($D23="",I23&lt;&gt;""),"Genre?",IF(I23="","",IF(I23="x",0,IF(I23="DSQ",1,IF(I23="ABD",1,IF(I23="NP",0,IF($D23="F",IF(I23&lt;Min_F!G$2,Min_F!$A$2,IF(COUNTIF(Min_F!G:G,I23)=1,_xlfn.XLOOKUP(I23,Min_F!G:G,Min_F!$A:$A),INDEX(Min_F!$A:$A,MATCH(I23,Min_F!G:G)+1))),IF(I23&lt;Min_G!G$2,Min_G!$A$2,IF(COUNTIF(Min_G!G:G,I23)=1,_xlfn.XLOOKUP(I23,Min_G!G:G,Min_G!$A:$A),INDEX(Min_G!$A:$A,MATCH(I23,Min_G!G:G)+1)))))))))&amp;IF(I23="",""," pt(s)"))</f>
        <v/>
      </c>
      <c r="J24" s="61" t="str" cm="1">
        <f t="array" ref="J24">IF(AND($D23="",J23&lt;&gt;""),"Genre?",IF(J23="","",IF(D23="F","F = 0",IF(J23="x",0,IF(J23="DSQ",1,IF(J23="ABD",1,IF(J23="NP",0,IF($D23="F",IF(J23&lt;Min_F!H$2,Min_F!$A$2,IF(COUNTIF(Min_F!H:H,J23)=1,_xlfn.XLOOKUP(J23,Min_F!H:H,Min_F!$A:$A),INDEX(Min_F!$A:$A,MATCH(J23,Min_F!H:H)+1))),IF(J23&lt;Min_G!H$2,Min_G!$A$2,IF(COUNTIF(Min_G!H:H,J23)=1,_xlfn.XLOOKUP(J23,Min_G!H:H,Min_G!$A:$A),INDEX(Min_G!$A:$A,MATCH(J23,Min_G!H:H)+1))))))))))&amp;IF(J23="",""," pt(s)"))</f>
        <v/>
      </c>
      <c r="K24" s="80" t="str" cm="1">
        <f t="array" ref="K24">IF(AND($D23="",K23&lt;&gt;""),"Genre?",IF(K23="","",IF(K23="x",0,IF(K23="DSQ",1,IF(K23="ABD",1,IF(K23="NP",0,IF($D23="F",IF(K23&lt;Min_F!I$2,Min_F!$A$2,IF(COUNTIF(Min_F!I:I,K23)=1,_xlfn.XLOOKUP(K23,Min_F!I:I,Min_F!$A:$A),INDEX(Min_F!$A:$A,MATCH(K23,Min_F!I:I)+1))),IF(K23&lt;Min_G!I$2,Min_G!$A$2,IF(COUNTIF(Min_G!I:I,K23)=1,_xlfn.XLOOKUP(K23,Min_G!I:I,Min_G!$A:$A),INDEX(Min_G!$A:$A,MATCH(K23,Min_G!I:I)+1)))))))))&amp;IF(K23="",""," pt(s)"))</f>
        <v/>
      </c>
      <c r="L24" s="61" t="str" cm="1">
        <f t="array" ref="L24">IF(AND($D23="",L23&lt;&gt;""),"Genre?",IF(L23="","",IF(L23="x",0,IF(L23="DSQ",1,IF(L23="ABD",1,IF(L23="NP",0,IF($D23="F",IF(L23&lt;Min_F!D$2,Min_F!$A$2,IF(COUNTIF(Min_F!D:D,L23)=1,_xlfn.XLOOKUP(L23,Min_F!D:D,Min_F!$A:$A),INDEX(Min_F!$A:$A,MATCH(L23,Min_F!D:D)+1))),IF(L23&lt;Min_G!D$2,Min_G!$A$2,IF(COUNTIF(Min_G!D:D,L23)=1,_xlfn.XLOOKUP(L23,Min_G!D:D,Min_G!$A:$A),INDEX(Min_G!$A:$A,MATCH(L23,Min_G!D:D)+1)))))))))&amp;IF(L23="",""," pt(s)"))</f>
        <v/>
      </c>
      <c r="M24" s="59" t="str" cm="1">
        <f t="array" ref="M24">IF(AND($D23="",M23&lt;&gt;""),"Genre?",IF(M23="","",IF(M23="x",0,IF(M23="DSQ",1,IF(M23="ABD",1,IF(M23="NP",0,IF($D23="F",IF(M23&lt;Min_F!E$2,Min_F!$A$2,IF(COUNTIF(Min_F!E:E,M23)=1,_xlfn.XLOOKUP(M23,Min_F!E:E,Min_F!$A:$A),INDEX(Min_F!$A:$A,MATCH(M23,Min_F!E:E)+1))),IF(M23&lt;Min_G!E$2,Min_G!$A$2,IF(COUNTIF(Min_G!E:E,M23)=1,_xlfn.XLOOKUP(M23,Min_G!E:E,Min_G!$A:$A),INDEX(Min_G!$A:$A,MATCH(M23,Min_G!E:E)+1)))))))))&amp;IF(M23="",""," pt(s)"))</f>
        <v/>
      </c>
      <c r="N24" s="58" t="str" cm="1">
        <f t="array" ref="N24">IF(AND($D23="",N23&lt;&gt;""),"Genre?",IF(N23="","",IF(N23="x",0,IF(N23="DSQ",1,IF(N23="ABD",1,IF(N23="NP",0,IF($D23="F",IF(N23&gt;Min_F!J$2,Min_F!$A$2,IF(COUNTIF(Min_F!J:J,N23)=1,_xlfn.XLOOKUP(N23,Min_F!J:J,Min_F!$A:$A),INDEX(Min_F!$A:$A,MATCH(N23,Min_F!J:J,-1)+1))),IF(N23&gt;Min_G!J$2,Min_G!$A$2,IF(COUNTIF(Min_G!J:J,N23)=1,_xlfn.XLOOKUP(N23,Min_G!J:J,Min_G!$A:$A),INDEX(Min_G!$A:$A,MATCH(N23,Min_G!J:J,-1)+1)))))))))&amp;IF(N23="",""," pt(s)"))</f>
        <v/>
      </c>
      <c r="O24" s="58" t="str" cm="1">
        <f t="array" ref="O24">IF(AND($D23="",O23&lt;&gt;""),"Genre?",IF(O23="","",IF(O23="x",0,IF(O23="DSQ",1,IF(O23="ABD",1,IF(O23="NP",0,IF($D23="F",IF(O23&gt;Min_F!K$2,Min_F!$A$2,IF(COUNTIF(Min_F!K:K,O23)=1,_xlfn.XLOOKUP(O23,Min_F!K:K,Min_F!$A:$A),INDEX(Min_F!$A:$A,MATCH(O23,Min_F!K:K,-1)+1))),IF(O23&gt;Min_G!K$2,Min_G!$A$2,IF(COUNTIF(Min_G!K:K,O23)=1,_xlfn.XLOOKUP(O23,Min_G!K:K,Min_G!$A:$A),INDEX(Min_G!$A:$A,MATCH(O23,Min_G!K:K,-1)+1)))))))))&amp;IF(O23="",""," pt(s)"))</f>
        <v/>
      </c>
      <c r="P24" s="58" t="str" cm="1">
        <f t="array" ref="P24">IF(AND($D23="",P23&lt;&gt;""),"Genre?",IF(P23="","",IF(P23="x",0,IF(P23="DSQ",1,IF(P23="ABD",1,IF(P23="NP",0,IF($D23="F",IF(P23&gt;Min_F!L$2,Min_F!$A$2,IF(COUNTIF(Min_F!L:L,P23)=1,_xlfn.XLOOKUP(P23,Min_F!L:L,Min_F!$A:$A),INDEX(Min_F!$A:$A,MATCH(P23,Min_F!L:L,-1)+1))),IF(P23&gt;Min_G!L$2,Min_G!$A$2,IF(COUNTIF(Min_G!L:L,P23)=1,_xlfn.XLOOKUP(P23,Min_G!L:L,Min_G!$A:$A),INDEX(Min_G!$A:$A,MATCH(P23,Min_G!L:L,-1)+1)))))))))&amp;IF(P23="",""," pt(s)"))</f>
        <v/>
      </c>
      <c r="Q24" s="60" t="str" cm="1">
        <f t="array" ref="Q24">IF(AND($D23="",Q23&lt;&gt;""),"Genre?",IF(Q23="","",IF(Q23="x",0,IF(Q23="DSQ",1,IF(Q23="ABD",1,IF(Q23="NP",0,IF($D23="F",IF(Q23&gt;Min_F!M$2,Min_F!$A$2,IF(COUNTIF(Min_F!M:M,Q23)=1,_xlfn.XLOOKUP(Q23,Min_F!M:M,Min_F!$A:$A),INDEX(Min_F!$A:$A,MATCH(Q23,Min_F!M:M,-1)+1))),IF(Q23&gt;Min_G!M$2,Min_G!$A$2,IF(COUNTIF(Min_G!M:M,Q23)=1,_xlfn.XLOOKUP(Q23,Min_G!M:M,Min_G!$A:$A),INDEX(Min_G!$A:$A,MATCH(Q23,Min_G!M:M,-1)+1)))))))))&amp;IF(Q23="",""," pt(s)"))</f>
        <v/>
      </c>
      <c r="R24" s="61" t="str" cm="1">
        <f t="array" ref="R24">IF(AND($D23="",R23&lt;&gt;""),"Genre?",IF(R23="","",IF(R23="x",0,IF(R23="DSQ",1,IF(R23="ABD",1,IF(R23="NP",0,IF($D23="F",IF(R23&gt;Min_F!N$2,Min_F!$A$2,IF(COUNTIF(Min_F!N:N,R23)=1,_xlfn.XLOOKUP(R23,Min_F!N:N,Min_F!$A:$A),INDEX(Min_F!$A:$A,MATCH(R23,Min_F!N:N,-1)+1))),IF(R23&gt;Min_G!N$2,Min_G!$A$2,IF(COUNTIF(Min_G!N:N,R23)=1,_xlfn.XLOOKUP(R23,Min_G!N:N,Min_G!$A:$A),INDEX(Min_G!$A:$A,MATCH(R23,Min_G!N:N,-1)+1)))))))))&amp;IF(R23="",""," pt(s)"))</f>
        <v/>
      </c>
      <c r="S24" s="58" t="str" cm="1">
        <f t="array" ref="S24">IF(AND($D23="",S23&lt;&gt;""),"Genre?",IF(S23="","",IF(S23="x",0,IF(S23="DSQ",1,IF(S23="ABD",1,IF(S23="NP",0,IF($D23="F",IF(S23&gt;Min_F!O$2,Min_F!$A$2,IF(COUNTIF(Min_F!O:O,S23)=1,_xlfn.XLOOKUP(S23,Min_F!O:O,Min_F!$A:$A),INDEX(Min_F!$A:$A,MATCH(S23,Min_F!O:O,-1)+1))),IF(S23&gt;Min_G!O$2,Min_G!$A$2,IF(COUNTIF(Min_G!O:O,S23)=1,_xlfn.XLOOKUP(S23,Min_G!O:O,Min_G!$A:$A),INDEX(Min_G!$A:$A,MATCH(S23,Min_G!O:O,-1)+1)))))))))&amp;IF(S23="",""," pt(s)"))</f>
        <v/>
      </c>
      <c r="T24" s="58" t="str" cm="1">
        <f t="array" ref="T24">IF(AND($D23="",T23&lt;&gt;""),"Genre?",IF(T23="","",IF(T23="x",0,IF(T23="DSQ",1,IF(T23="ABD",1,IF(T23="NP",0,IF($D23="F",IF(T23&gt;Min_F!P$2,Min_F!$A$2,IF(COUNTIF(Min_F!P:P,T23)=1,_xlfn.XLOOKUP(T23,Min_F!P:P,Min_F!$A:$A),INDEX(Min_F!$A:$A,MATCH(T23,Min_F!P:P,-1)+1))),IF(T23&gt;Min_G!P$2,Min_G!$A$2,IF(COUNTIF(Min_G!P:P,T23)=1,_xlfn.XLOOKUP(T23,Min_G!P:P,Min_G!$A:$A),INDEX(Min_G!$A:$A,MATCH(T23,Min_G!P:P,-1)+1)))))))))&amp;IF(T23="",""," pt(s)"))</f>
        <v/>
      </c>
      <c r="U24" s="60" t="str" cm="1">
        <f t="array" ref="U24">IF(AND($D23="",U23&lt;&gt;""),"Genre?",IF(U23="","",IF(U23="x",0,IF(U23="DSQ",1,IF(U23="ABD",1,IF(U23="NP",0,IF($D23="F",IF(U23&gt;Min_F!Q$2,Min_F!$A$2,IF(COUNTIF(Min_F!Q:Q,U23)=1,_xlfn.XLOOKUP(U23,Min_F!Q:Q,Min_F!$A:$A),INDEX(Min_F!$A:$A,MATCH(U23,Min_F!Q:Q,-1)+1))),IF(U23&gt;Min_G!Q$2,Min_G!$A$2,IF(COUNTIF(Min_G!Q:Q,U23)=1,_xlfn.XLOOKUP(U23,Min_G!Q:Q,Min_G!$A:$A),INDEX(Min_G!$A:$A,MATCH(U23,Min_G!Q:Q,-1)+1)))))))))&amp;IF(U23="",""," pt(s)"))</f>
        <v/>
      </c>
      <c r="V24" s="177"/>
      <c r="W24" s="194"/>
      <c r="X24" s="139"/>
      <c r="Y24" s="140"/>
      <c r="Z24" s="226"/>
    </row>
    <row r="25" spans="1:26" ht="30" customHeight="1" thickTop="1" x14ac:dyDescent="0.3">
      <c r="A25" s="125">
        <v>2</v>
      </c>
      <c r="B25" s="127"/>
      <c r="C25" s="127"/>
      <c r="D25" s="129"/>
      <c r="E25" s="123" t="str">
        <f t="shared" ref="E25" si="0">IF(D25="","",IF(D25="F","MF","MG"))</f>
        <v/>
      </c>
      <c r="F25" s="50"/>
      <c r="G25" s="72"/>
      <c r="H25" s="81"/>
      <c r="I25" s="74"/>
      <c r="J25" s="50"/>
      <c r="K25" s="82"/>
      <c r="L25" s="74"/>
      <c r="M25" s="51"/>
      <c r="N25" s="45"/>
      <c r="O25" s="45"/>
      <c r="P25" s="45"/>
      <c r="Q25" s="46"/>
      <c r="R25" s="47"/>
      <c r="S25" s="45"/>
      <c r="T25" s="45"/>
      <c r="U25" s="46"/>
      <c r="V25" s="133"/>
      <c r="W25" s="194" t="str">
        <f t="shared" ref="W25" si="1">IF(V25="","",IF(E25="","",E25))</f>
        <v/>
      </c>
      <c r="X25" s="135" t="str">
        <f t="shared" ref="X25" si="2">IF(AND(E25="",COUNTA(F25:V25)&gt;0),"manque catégorie",IF(E25="","",IF(COUNTA(F25:V25)=0,"NON",IF(COUNTA(F25:U25)&gt;3,"NON",IF(COUNTA(F25:M25)&gt;1,"NON",IF(COUNTA(N25:Q25)&gt;1,"NON",IF(COUNTA(R25:U25)&gt;1,"NON",IF(AND(COUNTA(V25)=1,COUNTA(F25:U25)=0),"NON","OUI"))))))))</f>
        <v/>
      </c>
      <c r="Y25" s="136"/>
      <c r="Z25" s="226" t="str">
        <f t="shared" ref="Z25" si="3">IF(X25="","",IF(X25="manque catégorie","NON",IF(X25="NON","NON","OUI")))</f>
        <v/>
      </c>
    </row>
    <row r="26" spans="1:26" ht="30" customHeight="1" thickBot="1" x14ac:dyDescent="0.35">
      <c r="A26" s="126"/>
      <c r="B26" s="128"/>
      <c r="C26" s="128"/>
      <c r="D26" s="130"/>
      <c r="E26" s="124"/>
      <c r="F26" s="58" t="str" cm="1">
        <f t="array" ref="F26">IF(AND($D25="",F25&lt;&gt;""),"Genre?",IF(F25="","",IF(F25="x",0,IF(F25="DSQ",1,IF(F25="ABD",1,IF(F25="NP",0,IF($D25="F",IF(F25&lt;Min_F!B$2,Min_F!$A$2,IF(COUNTIF(Min_F!B:B,F25)=1,_xlfn.XLOOKUP(F25,Min_F!B:B,Min_F!$A:$A),INDEX(Min_F!$A:$A,MATCH(F25,Min_F!B:B)+1))),IF(F25&lt;Min_G!B$2,Min_G!$A$2,IF(COUNTIF(Min_G!B:B,F25)=1,_xlfn.XLOOKUP(F25,Min_G!B:B,Min_G!$A:$A),INDEX(Min_G!$A:$A,MATCH(F25,Min_G!B:B)+1)))))))))&amp;IF(F25="",""," pt(s)"))</f>
        <v/>
      </c>
      <c r="G26" s="71" t="str" cm="1">
        <f t="array" ref="G26">IF(AND($D25="",G25&lt;&gt;""),"Genre?",IF(G25="","",IF(G25="x",0,IF(G25="DSQ",1,IF(G25="ABD",1,IF(G25="NP",0,IF($D25="F",IF(G25&lt;Min_F!C$2,Min_F!$A$2,IF(COUNTIF(Min_F!C:C,G25)=1,_xlfn.XLOOKUP(G25,Min_F!C:C,Min_F!$A:$A),INDEX(Min_F!$A:$A,MATCH(G25,Min_F!C:C)+1))),IF(G25&lt;Min_G!C$2,Min_G!$A$2,IF(COUNTIF(Min_G!C:C,G25)=1,_xlfn.XLOOKUP(G25,Min_G!C:C,Min_G!$A:$A),INDEX(Min_G!$A:$A,MATCH(G25,Min_G!C:C)+1)))))))))&amp;IF(G25="",""," pt(s)"))</f>
        <v/>
      </c>
      <c r="H26" s="79" t="str" cm="1">
        <f t="array" ref="H26">IF(AND($D25="",H25&lt;&gt;""),"Genre?",IF(H25="","",IF(D25="G","G = 0",IF(H25="x",0,IF(H25="DSQ",1,IF(H25="ABD",1,IF(H25="NP",0,IF($D25="F",IF(H25&lt;Min_F!F$2,Min_F!$A$2,IF(COUNTIF(Min_F!F:F,H25)=1,_xlfn.XLOOKUP(H25,Min_F!F:F,Min_F!$A:$A),INDEX(Min_F!$A:$A,MATCH(H25,Min_F!F:F)+1))),IF(H25&lt;Min_G!F$2,Min_G!$A$2,IF(COUNTIF(Min_G!F:F,H25)=1,_xlfn.XLOOKUP(H25,Min_G!F:F,Min_G!$A:$A),INDEX(Min_G!$A:$A,MATCH(H25,Min_G!F:F)+1))))))))))&amp;IF(H25="",""," pt(s)"))</f>
        <v/>
      </c>
      <c r="I26" s="62" t="str" cm="1">
        <f t="array" ref="I26">IF(AND($D25="",I25&lt;&gt;""),"Genre?",IF(I25="","",IF(I25="x",0,IF(I25="DSQ",1,IF(I25="ABD",1,IF(I25="NP",0,IF($D25="F",IF(I25&lt;Min_F!G$2,Min_F!$A$2,IF(COUNTIF(Min_F!G:G,I25)=1,_xlfn.XLOOKUP(I25,Min_F!G:G,Min_F!$A:$A),INDEX(Min_F!$A:$A,MATCH(I25,Min_F!G:G)+1))),IF(I25&lt;Min_G!G$2,Min_G!$A$2,IF(COUNTIF(Min_G!G:G,I25)=1,_xlfn.XLOOKUP(I25,Min_G!G:G,Min_G!$A:$A),INDEX(Min_G!$A:$A,MATCH(I25,Min_G!G:G)+1)))))))))&amp;IF(I25="",""," pt(s)"))</f>
        <v/>
      </c>
      <c r="J26" s="58" t="str" cm="1">
        <f t="array" ref="J26">IF(AND($D25="",J25&lt;&gt;""),"Genre?",IF(J25="","",IF(D25="F","F = 0",IF(J25="x",0,IF(J25="DSQ",1,IF(J25="ABD",1,IF(J25="NP",0,IF($D25="F",IF(J25&lt;Min_F!H$2,Min_F!$A$2,IF(COUNTIF(Min_F!H:H,J25)=1,_xlfn.XLOOKUP(J25,Min_F!H:H,Min_F!$A:$A),INDEX(Min_F!$A:$A,MATCH(J25,Min_F!H:H)+1))),IF(J25&lt;Min_G!H$2,Min_G!$A$2,IF(COUNTIF(Min_G!H:H,J25)=1,_xlfn.XLOOKUP(J25,Min_G!H:H,Min_G!$A:$A),INDEX(Min_G!$A:$A,MATCH(J25,Min_G!H:H)+1))))))))))&amp;IF(J25="",""," pt(s)"))</f>
        <v/>
      </c>
      <c r="K26" s="80" t="str" cm="1">
        <f t="array" ref="K26">IF(AND($D25="",K25&lt;&gt;""),"Genre?",IF(K25="","",IF(K25="x",0,IF(K25="DSQ",1,IF(K25="ABD",1,IF(K25="NP",0,IF($D25="F",IF(K25&lt;Min_F!I$2,Min_F!$A$2,IF(COUNTIF(Min_F!I:I,K25)=1,_xlfn.XLOOKUP(K25,Min_F!I:I,Min_F!$A:$A),INDEX(Min_F!$A:$A,MATCH(K25,Min_F!I:I)+1))),IF(K25&lt;Min_G!I$2,Min_G!$A$2,IF(COUNTIF(Min_G!I:I,K25)=1,_xlfn.XLOOKUP(K25,Min_G!I:I,Min_G!$A:$A),INDEX(Min_G!$A:$A,MATCH(K25,Min_G!I:I)+1)))))))))&amp;IF(K25="",""," pt(s)"))</f>
        <v/>
      </c>
      <c r="L26" s="61" t="str" cm="1">
        <f t="array" ref="L26">IF(AND($D25="",L25&lt;&gt;""),"Genre?",IF(L25="","",IF(L25="x",0,IF(L25="DSQ",1,IF(L25="ABD",1,IF(L25="NP",0,IF($D25="F",IF(L25&lt;Min_F!D$2,Min_F!$A$2,IF(COUNTIF(Min_F!D:D,L25)=1,_xlfn.XLOOKUP(L25,Min_F!D:D,Min_F!$A:$A),INDEX(Min_F!$A:$A,MATCH(L25,Min_F!D:D)+1))),IF(L25&lt;Min_G!D$2,Min_G!$A$2,IF(COUNTIF(Min_G!D:D,L25)=1,_xlfn.XLOOKUP(L25,Min_G!D:D,Min_G!$A:$A),INDEX(Min_G!$A:$A,MATCH(L25,Min_G!D:D)+1)))))))))&amp;IF(L25="",""," pt(s)"))</f>
        <v/>
      </c>
      <c r="M26" s="59" t="str" cm="1">
        <f t="array" ref="M26">IF(AND($D25="",M25&lt;&gt;""),"Genre?",IF(M25="","",IF(M25="x",0,IF(M25="DSQ",1,IF(M25="ABD",1,IF(M25="NP",0,IF($D25="F",IF(M25&lt;Min_F!E$2,Min_F!$A$2,IF(COUNTIF(Min_F!E:E,M25)=1,_xlfn.XLOOKUP(M25,Min_F!E:E,Min_F!$A:$A),INDEX(Min_F!$A:$A,MATCH(M25,Min_F!E:E)+1))),IF(M25&lt;Min_G!E$2,Min_G!$A$2,IF(COUNTIF(Min_G!E:E,M25)=1,_xlfn.XLOOKUP(M25,Min_G!E:E,Min_G!$A:$A),INDEX(Min_G!$A:$A,MATCH(M25,Min_G!E:E)+1)))))))))&amp;IF(M25="",""," pt(s)"))</f>
        <v/>
      </c>
      <c r="N26" s="58" t="str" cm="1">
        <f t="array" ref="N26">IF(AND($D25="",N25&lt;&gt;""),"Genre?",IF(N25="","",IF(N25="x",0,IF(N25="DSQ",1,IF(N25="ABD",1,IF(N25="NP",0,IF($D25="F",IF(N25&gt;Min_F!J$2,Min_F!$A$2,IF(COUNTIF(Min_F!J:J,N25)=1,_xlfn.XLOOKUP(N25,Min_F!J:J,Min_F!$A:$A),INDEX(Min_F!$A:$A,MATCH(N25,Min_F!J:J,-1)+1))),IF(N25&gt;Min_G!J$2,Min_G!$A$2,IF(COUNTIF(Min_G!J:J,N25)=1,_xlfn.XLOOKUP(N25,Min_G!J:J,Min_G!$A:$A),INDEX(Min_G!$A:$A,MATCH(N25,Min_G!J:J,-1)+1)))))))))&amp;IF(N25="",""," pt(s)"))</f>
        <v/>
      </c>
      <c r="O26" s="58" t="str" cm="1">
        <f t="array" ref="O26">IF(AND($D25="",O25&lt;&gt;""),"Genre?",IF(O25="","",IF(O25="x",0,IF(O25="DSQ",1,IF(O25="ABD",1,IF(O25="NP",0,IF($D25="F",IF(O25&gt;Min_F!K$2,Min_F!$A$2,IF(COUNTIF(Min_F!K:K,O25)=1,_xlfn.XLOOKUP(O25,Min_F!K:K,Min_F!$A:$A),INDEX(Min_F!$A:$A,MATCH(O25,Min_F!K:K,-1)+1))),IF(O25&gt;Min_G!K$2,Min_G!$A$2,IF(COUNTIF(Min_G!K:K,O25)=1,_xlfn.XLOOKUP(O25,Min_G!K:K,Min_G!$A:$A),INDEX(Min_G!$A:$A,MATCH(O25,Min_G!K:K,-1)+1)))))))))&amp;IF(O25="",""," pt(s)"))</f>
        <v/>
      </c>
      <c r="P26" s="58" t="str" cm="1">
        <f t="array" ref="P26">IF(AND($D25="",P25&lt;&gt;""),"Genre?",IF(P25="","",IF(P25="x",0,IF(P25="DSQ",1,IF(P25="ABD",1,IF(P25="NP",0,IF($D25="F",IF(P25&gt;Min_F!L$2,Min_F!$A$2,IF(COUNTIF(Min_F!L:L,P25)=1,_xlfn.XLOOKUP(P25,Min_F!L:L,Min_F!$A:$A),INDEX(Min_F!$A:$A,MATCH(P25,Min_F!L:L,-1)+1))),IF(P25&gt;Min_G!L$2,Min_G!$A$2,IF(COUNTIF(Min_G!L:L,P25)=1,_xlfn.XLOOKUP(P25,Min_G!L:L,Min_G!$A:$A),INDEX(Min_G!$A:$A,MATCH(P25,Min_G!L:L,-1)+1)))))))))&amp;IF(P25="",""," pt(s)"))</f>
        <v/>
      </c>
      <c r="Q26" s="60" t="str" cm="1">
        <f t="array" ref="Q26">IF(AND($D25="",Q25&lt;&gt;""),"Genre?",IF(Q25="","",IF(Q25="x",0,IF(Q25="DSQ",1,IF(Q25="ABD",1,IF(Q25="NP",0,IF($D25="F",IF(Q25&gt;Min_F!M$2,Min_F!$A$2,IF(COUNTIF(Min_F!M:M,Q25)=1,_xlfn.XLOOKUP(Q25,Min_F!M:M,Min_F!$A:$A),INDEX(Min_F!$A:$A,MATCH(Q25,Min_F!M:M,-1)+1))),IF(Q25&gt;Min_G!M$2,Min_G!$A$2,IF(COUNTIF(Min_G!M:M,Q25)=1,_xlfn.XLOOKUP(Q25,Min_G!M:M,Min_G!$A:$A),INDEX(Min_G!$A:$A,MATCH(Q25,Min_G!M:M,-1)+1)))))))))&amp;IF(Q25="",""," pt(s)"))</f>
        <v/>
      </c>
      <c r="R26" s="61" t="str" cm="1">
        <f t="array" ref="R26">IF(AND($D25="",R25&lt;&gt;""),"Genre?",IF(R25="","",IF(R25="x",0,IF(R25="DSQ",1,IF(R25="ABD",1,IF(R25="NP",0,IF($D25="F",IF(R25&gt;Min_F!N$2,Min_F!$A$2,IF(COUNTIF(Min_F!N:N,R25)=1,_xlfn.XLOOKUP(R25,Min_F!N:N,Min_F!$A:$A),INDEX(Min_F!$A:$A,MATCH(R25,Min_F!N:N,-1)+1))),IF(R25&gt;Min_G!N$2,Min_G!$A$2,IF(COUNTIF(Min_G!N:N,R25)=1,_xlfn.XLOOKUP(R25,Min_G!N:N,Min_G!$A:$A),INDEX(Min_G!$A:$A,MATCH(R25,Min_G!N:N,-1)+1)))))))))&amp;IF(R25="",""," pt(s)"))</f>
        <v/>
      </c>
      <c r="S26" s="58" t="str" cm="1">
        <f t="array" ref="S26">IF(AND($D25="",S25&lt;&gt;""),"Genre?",IF(S25="","",IF(S25="x",0,IF(S25="DSQ",1,IF(S25="ABD",1,IF(S25="NP",0,IF($D25="F",IF(S25&gt;Min_F!O$2,Min_F!$A$2,IF(COUNTIF(Min_F!O:O,S25)=1,_xlfn.XLOOKUP(S25,Min_F!O:O,Min_F!$A:$A),INDEX(Min_F!$A:$A,MATCH(S25,Min_F!O:O,-1)+1))),IF(S25&gt;Min_G!O$2,Min_G!$A$2,IF(COUNTIF(Min_G!O:O,S25)=1,_xlfn.XLOOKUP(S25,Min_G!O:O,Min_G!$A:$A),INDEX(Min_G!$A:$A,MATCH(S25,Min_G!O:O,-1)+1)))))))))&amp;IF(S25="",""," pt(s)"))</f>
        <v/>
      </c>
      <c r="T26" s="58" t="str" cm="1">
        <f t="array" ref="T26">IF(AND($D25="",T25&lt;&gt;""),"Genre?",IF(T25="","",IF(T25="x",0,IF(T25="DSQ",1,IF(T25="ABD",1,IF(T25="NP",0,IF($D25="F",IF(T25&gt;Min_F!P$2,Min_F!$A$2,IF(COUNTIF(Min_F!P:P,T25)=1,_xlfn.XLOOKUP(T25,Min_F!P:P,Min_F!$A:$A),INDEX(Min_F!$A:$A,MATCH(T25,Min_F!P:P,-1)+1))),IF(T25&gt;Min_G!P$2,Min_G!$A$2,IF(COUNTIF(Min_G!P:P,T25)=1,_xlfn.XLOOKUP(T25,Min_G!P:P,Min_G!$A:$A),INDEX(Min_G!$A:$A,MATCH(T25,Min_G!P:P,-1)+1)))))))))&amp;IF(T25="",""," pt(s)"))</f>
        <v/>
      </c>
      <c r="U26" s="60" t="str" cm="1">
        <f t="array" ref="U26">IF(AND($D25="",U25&lt;&gt;""),"Genre?",IF(U25="","",IF(U25="x",0,IF(U25="DSQ",1,IF(U25="ABD",1,IF(U25="NP",0,IF($D25="F",IF(U25&gt;Min_F!Q$2,Min_F!$A$2,IF(COUNTIF(Min_F!Q:Q,U25)=1,_xlfn.XLOOKUP(U25,Min_F!Q:Q,Min_F!$A:$A),INDEX(Min_F!$A:$A,MATCH(U25,Min_F!Q:Q,-1)+1))),IF(U25&gt;Min_G!Q$2,Min_G!$A$2,IF(COUNTIF(Min_G!Q:Q,U25)=1,_xlfn.XLOOKUP(U25,Min_G!Q:Q,Min_G!$A:$A),INDEX(Min_G!$A:$A,MATCH(U25,Min_G!Q:Q,-1)+1)))))))))&amp;IF(U25="",""," pt(s)"))</f>
        <v/>
      </c>
      <c r="V26" s="134"/>
      <c r="W26" s="194"/>
      <c r="X26" s="139"/>
      <c r="Y26" s="140"/>
      <c r="Z26" s="226"/>
    </row>
    <row r="27" spans="1:26" ht="30" customHeight="1" thickTop="1" x14ac:dyDescent="0.3">
      <c r="A27" s="117">
        <v>3</v>
      </c>
      <c r="B27" s="119"/>
      <c r="C27" s="119"/>
      <c r="D27" s="121"/>
      <c r="E27" s="123" t="str">
        <f t="shared" ref="E27" si="4">IF(D27="","",IF(D27="F","MF","MG"))</f>
        <v/>
      </c>
      <c r="F27" s="52"/>
      <c r="G27" s="70"/>
      <c r="H27" s="77"/>
      <c r="I27" s="73"/>
      <c r="J27" s="52"/>
      <c r="K27" s="78"/>
      <c r="L27" s="73"/>
      <c r="M27" s="49"/>
      <c r="N27" s="41"/>
      <c r="O27" s="41"/>
      <c r="P27" s="41"/>
      <c r="Q27" s="42"/>
      <c r="R27" s="43"/>
      <c r="S27" s="41"/>
      <c r="T27" s="41"/>
      <c r="U27" s="42"/>
      <c r="V27" s="176"/>
      <c r="W27" s="194" t="str">
        <f t="shared" ref="W27" si="5">IF(V27="","",IF(E27="","",E27))</f>
        <v/>
      </c>
      <c r="X27" s="135" t="str">
        <f t="shared" ref="X27" si="6">IF(AND(E27="",COUNTA(F27:V27)&gt;0),"manque catégorie",IF(E27="","",IF(COUNTA(F27:V27)=0,"NON",IF(COUNTA(F27:U27)&gt;3,"NON",IF(COUNTA(F27:M27)&gt;1,"NON",IF(COUNTA(N27:Q27)&gt;1,"NON",IF(COUNTA(R27:U27)&gt;1,"NON",IF(AND(COUNTA(V27)=1,COUNTA(F27:U27)=0),"NON","OUI"))))))))</f>
        <v/>
      </c>
      <c r="Y27" s="136"/>
      <c r="Z27" s="226" t="str">
        <f t="shared" ref="Z27" si="7">IF(X27="","",IF(X27="manque catégorie","NON",IF(X27="NON","NON","OUI")))</f>
        <v/>
      </c>
    </row>
    <row r="28" spans="1:26" ht="30" customHeight="1" thickBot="1" x14ac:dyDescent="0.35">
      <c r="A28" s="118"/>
      <c r="B28" s="120"/>
      <c r="C28" s="120"/>
      <c r="D28" s="122"/>
      <c r="E28" s="124"/>
      <c r="F28" s="58" t="str" cm="1">
        <f t="array" ref="F28">IF(AND($D27="",F27&lt;&gt;""),"Genre?",IF(F27="","",IF(F27="x",0,IF(F27="DSQ",1,IF(F27="ABD",1,IF(F27="NP",0,IF($D27="F",IF(F27&lt;Min_F!B$2,Min_F!$A$2,IF(COUNTIF(Min_F!B:B,F27)=1,_xlfn.XLOOKUP(F27,Min_F!B:B,Min_F!$A:$A),INDEX(Min_F!$A:$A,MATCH(F27,Min_F!B:B)+1))),IF(F27&lt;Min_G!B$2,Min_G!$A$2,IF(COUNTIF(Min_G!B:B,F27)=1,_xlfn.XLOOKUP(F27,Min_G!B:B,Min_G!$A:$A),INDEX(Min_G!$A:$A,MATCH(F27,Min_G!B:B)+1)))))))))&amp;IF(F27="",""," pt(s)"))</f>
        <v/>
      </c>
      <c r="G28" s="71" t="str" cm="1">
        <f t="array" ref="G28">IF(AND($D27="",G27&lt;&gt;""),"Genre?",IF(G27="","",IF(G27="x",0,IF(G27="DSQ",1,IF(G27="ABD",1,IF(G27="NP",0,IF($D27="F",IF(G27&lt;Min_F!C$2,Min_F!$A$2,IF(COUNTIF(Min_F!C:C,G27)=1,_xlfn.XLOOKUP(G27,Min_F!C:C,Min_F!$A:$A),INDEX(Min_F!$A:$A,MATCH(G27,Min_F!C:C)+1))),IF(G27&lt;Min_G!C$2,Min_G!$A$2,IF(COUNTIF(Min_G!C:C,G27)=1,_xlfn.XLOOKUP(G27,Min_G!C:C,Min_G!$A:$A),INDEX(Min_G!$A:$A,MATCH(G27,Min_G!C:C)+1)))))))))&amp;IF(G27="",""," pt(s)"))</f>
        <v/>
      </c>
      <c r="H28" s="79" t="str" cm="1">
        <f t="array" ref="H28">IF(AND($D27="",H27&lt;&gt;""),"Genre?",IF(H27="","",IF(D27="G","G = 0",IF(H27="x",0,IF(H27="DSQ",1,IF(H27="ABD",1,IF(H27="NP",0,IF($D27="F",IF(H27&lt;Min_F!F$2,Min_F!$A$2,IF(COUNTIF(Min_F!F:F,H27)=1,_xlfn.XLOOKUP(H27,Min_F!F:F,Min_F!$A:$A),INDEX(Min_F!$A:$A,MATCH(H27,Min_F!F:F)+1))),IF(H27&lt;Min_G!F$2,Min_G!$A$2,IF(COUNTIF(Min_G!F:F,H27)=1,_xlfn.XLOOKUP(H27,Min_G!F:F,Min_G!$A:$A),INDEX(Min_G!$A:$A,MATCH(H27,Min_G!F:F)+1))))))))))&amp;IF(H27="",""," pt(s)"))</f>
        <v/>
      </c>
      <c r="I28" s="62" t="str" cm="1">
        <f t="array" ref="I28">IF(AND($D27="",I27&lt;&gt;""),"Genre?",IF(I27="","",IF(I27="x",0,IF(I27="DSQ",1,IF(I27="ABD",1,IF(I27="NP",0,IF($D27="F",IF(I27&lt;Min_F!G$2,Min_F!$A$2,IF(COUNTIF(Min_F!G:G,I27)=1,_xlfn.XLOOKUP(I27,Min_F!G:G,Min_F!$A:$A),INDEX(Min_F!$A:$A,MATCH(I27,Min_F!G:G)+1))),IF(I27&lt;Min_G!G$2,Min_G!$A$2,IF(COUNTIF(Min_G!G:G,I27)=1,_xlfn.XLOOKUP(I27,Min_G!G:G,Min_G!$A:$A),INDEX(Min_G!$A:$A,MATCH(I27,Min_G!G:G)+1)))))))))&amp;IF(I27="",""," pt(s)"))</f>
        <v/>
      </c>
      <c r="J28" s="58" t="str" cm="1">
        <f t="array" ref="J28">IF(AND($D27="",J27&lt;&gt;""),"Genre?",IF(J27="","",IF(D27="F","F = 0",IF(J27="x",0,IF(J27="DSQ",1,IF(J27="ABD",1,IF(J27="NP",0,IF($D27="F",IF(J27&lt;Min_F!H$2,Min_F!$A$2,IF(COUNTIF(Min_F!H:H,J27)=1,_xlfn.XLOOKUP(J27,Min_F!H:H,Min_F!$A:$A),INDEX(Min_F!$A:$A,MATCH(J27,Min_F!H:H)+1))),IF(J27&lt;Min_G!H$2,Min_G!$A$2,IF(COUNTIF(Min_G!H:H,J27)=1,_xlfn.XLOOKUP(J27,Min_G!H:H,Min_G!$A:$A),INDEX(Min_G!$A:$A,MATCH(J27,Min_G!H:H)+1))))))))))&amp;IF(J27="",""," pt(s)"))</f>
        <v/>
      </c>
      <c r="K28" s="80" t="str" cm="1">
        <f t="array" ref="K28">IF(AND($D27="",K27&lt;&gt;""),"Genre?",IF(K27="","",IF(K27="x",0,IF(K27="DSQ",1,IF(K27="ABD",1,IF(K27="NP",0,IF($D27="F",IF(K27&lt;Min_F!I$2,Min_F!$A$2,IF(COUNTIF(Min_F!I:I,K27)=1,_xlfn.XLOOKUP(K27,Min_F!I:I,Min_F!$A:$A),INDEX(Min_F!$A:$A,MATCH(K27,Min_F!I:I)+1))),IF(K27&lt;Min_G!I$2,Min_G!$A$2,IF(COUNTIF(Min_G!I:I,K27)=1,_xlfn.XLOOKUP(K27,Min_G!I:I,Min_G!$A:$A),INDEX(Min_G!$A:$A,MATCH(K27,Min_G!I:I)+1)))))))))&amp;IF(K27="",""," pt(s)"))</f>
        <v/>
      </c>
      <c r="L28" s="61" t="str" cm="1">
        <f t="array" ref="L28">IF(AND($D27="",L27&lt;&gt;""),"Genre?",IF(L27="","",IF(L27="x",0,IF(L27="DSQ",1,IF(L27="ABD",1,IF(L27="NP",0,IF($D27="F",IF(L27&lt;Min_F!D$2,Min_F!$A$2,IF(COUNTIF(Min_F!D:D,L27)=1,_xlfn.XLOOKUP(L27,Min_F!D:D,Min_F!$A:$A),INDEX(Min_F!$A:$A,MATCH(L27,Min_F!D:D)+1))),IF(L27&lt;Min_G!D$2,Min_G!$A$2,IF(COUNTIF(Min_G!D:D,L27)=1,_xlfn.XLOOKUP(L27,Min_G!D:D,Min_G!$A:$A),INDEX(Min_G!$A:$A,MATCH(L27,Min_G!D:D)+1)))))))))&amp;IF(L27="",""," pt(s)"))</f>
        <v/>
      </c>
      <c r="M28" s="59" t="str" cm="1">
        <f t="array" ref="M28">IF(AND($D27="",M27&lt;&gt;""),"Genre?",IF(M27="","",IF(M27="x",0,IF(M27="DSQ",1,IF(M27="ABD",1,IF(M27="NP",0,IF($D27="F",IF(M27&lt;Min_F!E$2,Min_F!$A$2,IF(COUNTIF(Min_F!E:E,M27)=1,_xlfn.XLOOKUP(M27,Min_F!E:E,Min_F!$A:$A),INDEX(Min_F!$A:$A,MATCH(M27,Min_F!E:E)+1))),IF(M27&lt;Min_G!E$2,Min_G!$A$2,IF(COUNTIF(Min_G!E:E,M27)=1,_xlfn.XLOOKUP(M27,Min_G!E:E,Min_G!$A:$A),INDEX(Min_G!$A:$A,MATCH(M27,Min_G!E:E)+1)))))))))&amp;IF(M27="",""," pt(s)"))</f>
        <v/>
      </c>
      <c r="N28" s="58" t="str" cm="1">
        <f t="array" ref="N28">IF(AND($D27="",N27&lt;&gt;""),"Genre?",IF(N27="","",IF(N27="x",0,IF(N27="DSQ",1,IF(N27="ABD",1,IF(N27="NP",0,IF($D27="F",IF(N27&gt;Min_F!J$2,Min_F!$A$2,IF(COUNTIF(Min_F!J:J,N27)=1,_xlfn.XLOOKUP(N27,Min_F!J:J,Min_F!$A:$A),INDEX(Min_F!$A:$A,MATCH(N27,Min_F!J:J,-1)+1))),IF(N27&gt;Min_G!J$2,Min_G!$A$2,IF(COUNTIF(Min_G!J:J,N27)=1,_xlfn.XLOOKUP(N27,Min_G!J:J,Min_G!$A:$A),INDEX(Min_G!$A:$A,MATCH(N27,Min_G!J:J,-1)+1)))))))))&amp;IF(N27="",""," pt(s)"))</f>
        <v/>
      </c>
      <c r="O28" s="58" t="str" cm="1">
        <f t="array" ref="O28">IF(AND($D27="",O27&lt;&gt;""),"Genre?",IF(O27="","",IF(O27="x",0,IF(O27="DSQ",1,IF(O27="ABD",1,IF(O27="NP",0,IF($D27="F",IF(O27&gt;Min_F!K$2,Min_F!$A$2,IF(COUNTIF(Min_F!K:K,O27)=1,_xlfn.XLOOKUP(O27,Min_F!K:K,Min_F!$A:$A),INDEX(Min_F!$A:$A,MATCH(O27,Min_F!K:K,-1)+1))),IF(O27&gt;Min_G!K$2,Min_G!$A$2,IF(COUNTIF(Min_G!K:K,O27)=1,_xlfn.XLOOKUP(O27,Min_G!K:K,Min_G!$A:$A),INDEX(Min_G!$A:$A,MATCH(O27,Min_G!K:K,-1)+1)))))))))&amp;IF(O27="",""," pt(s)"))</f>
        <v/>
      </c>
      <c r="P28" s="58" t="str" cm="1">
        <f t="array" ref="P28">IF(AND($D27="",P27&lt;&gt;""),"Genre?",IF(P27="","",IF(P27="x",0,IF(P27="DSQ",1,IF(P27="ABD",1,IF(P27="NP",0,IF($D27="F",IF(P27&gt;Min_F!L$2,Min_F!$A$2,IF(COUNTIF(Min_F!L:L,P27)=1,_xlfn.XLOOKUP(P27,Min_F!L:L,Min_F!$A:$A),INDEX(Min_F!$A:$A,MATCH(P27,Min_F!L:L,-1)+1))),IF(P27&gt;Min_G!L$2,Min_G!$A$2,IF(COUNTIF(Min_G!L:L,P27)=1,_xlfn.XLOOKUP(P27,Min_G!L:L,Min_G!$A:$A),INDEX(Min_G!$A:$A,MATCH(P27,Min_G!L:L,-1)+1)))))))))&amp;IF(P27="",""," pt(s)"))</f>
        <v/>
      </c>
      <c r="Q28" s="60" t="str" cm="1">
        <f t="array" ref="Q28">IF(AND($D27="",Q27&lt;&gt;""),"Genre?",IF(Q27="","",IF(Q27="x",0,IF(Q27="DSQ",1,IF(Q27="ABD",1,IF(Q27="NP",0,IF($D27="F",IF(Q27&gt;Min_F!M$2,Min_F!$A$2,IF(COUNTIF(Min_F!M:M,Q27)=1,_xlfn.XLOOKUP(Q27,Min_F!M:M,Min_F!$A:$A),INDEX(Min_F!$A:$A,MATCH(Q27,Min_F!M:M,-1)+1))),IF(Q27&gt;Min_G!M$2,Min_G!$A$2,IF(COUNTIF(Min_G!M:M,Q27)=1,_xlfn.XLOOKUP(Q27,Min_G!M:M,Min_G!$A:$A),INDEX(Min_G!$A:$A,MATCH(Q27,Min_G!M:M,-1)+1)))))))))&amp;IF(Q27="",""," pt(s)"))</f>
        <v/>
      </c>
      <c r="R28" s="61" t="str" cm="1">
        <f t="array" ref="R28">IF(AND($D27="",R27&lt;&gt;""),"Genre?",IF(R27="","",IF(R27="x",0,IF(R27="DSQ",1,IF(R27="ABD",1,IF(R27="NP",0,IF($D27="F",IF(R27&gt;Min_F!N$2,Min_F!$A$2,IF(COUNTIF(Min_F!N:N,R27)=1,_xlfn.XLOOKUP(R27,Min_F!N:N,Min_F!$A:$A),INDEX(Min_F!$A:$A,MATCH(R27,Min_F!N:N,-1)+1))),IF(R27&gt;Min_G!N$2,Min_G!$A$2,IF(COUNTIF(Min_G!N:N,R27)=1,_xlfn.XLOOKUP(R27,Min_G!N:N,Min_G!$A:$A),INDEX(Min_G!$A:$A,MATCH(R27,Min_G!N:N,-1)+1)))))))))&amp;IF(R27="",""," pt(s)"))</f>
        <v/>
      </c>
      <c r="S28" s="58" t="str" cm="1">
        <f t="array" ref="S28">IF(AND($D27="",S27&lt;&gt;""),"Genre?",IF(S27="","",IF(S27="x",0,IF(S27="DSQ",1,IF(S27="ABD",1,IF(S27="NP",0,IF($D27="F",IF(S27&gt;Min_F!O$2,Min_F!$A$2,IF(COUNTIF(Min_F!O:O,S27)=1,_xlfn.XLOOKUP(S27,Min_F!O:O,Min_F!$A:$A),INDEX(Min_F!$A:$A,MATCH(S27,Min_F!O:O,-1)+1))),IF(S27&gt;Min_G!O$2,Min_G!$A$2,IF(COUNTIF(Min_G!O:O,S27)=1,_xlfn.XLOOKUP(S27,Min_G!O:O,Min_G!$A:$A),INDEX(Min_G!$A:$A,MATCH(S27,Min_G!O:O,-1)+1)))))))))&amp;IF(S27="",""," pt(s)"))</f>
        <v/>
      </c>
      <c r="T28" s="58" t="str" cm="1">
        <f t="array" ref="T28">IF(AND($D27="",T27&lt;&gt;""),"Genre?",IF(T27="","",IF(T27="x",0,IF(T27="DSQ",1,IF(T27="ABD",1,IF(T27="NP",0,IF($D27="F",IF(T27&gt;Min_F!P$2,Min_F!$A$2,IF(COUNTIF(Min_F!P:P,T27)=1,_xlfn.XLOOKUP(T27,Min_F!P:P,Min_F!$A:$A),INDEX(Min_F!$A:$A,MATCH(T27,Min_F!P:P,-1)+1))),IF(T27&gt;Min_G!P$2,Min_G!$A$2,IF(COUNTIF(Min_G!P:P,T27)=1,_xlfn.XLOOKUP(T27,Min_G!P:P,Min_G!$A:$A),INDEX(Min_G!$A:$A,MATCH(T27,Min_G!P:P,-1)+1)))))))))&amp;IF(T27="",""," pt(s)"))</f>
        <v/>
      </c>
      <c r="U28" s="60" t="str" cm="1">
        <f t="array" ref="U28">IF(AND($D27="",U27&lt;&gt;""),"Genre?",IF(U27="","",IF(U27="x",0,IF(U27="DSQ",1,IF(U27="ABD",1,IF(U27="NP",0,IF($D27="F",IF(U27&gt;Min_F!Q$2,Min_F!$A$2,IF(COUNTIF(Min_F!Q:Q,U27)=1,_xlfn.XLOOKUP(U27,Min_F!Q:Q,Min_F!$A:$A),INDEX(Min_F!$A:$A,MATCH(U27,Min_F!Q:Q,-1)+1))),IF(U27&gt;Min_G!Q$2,Min_G!$A$2,IF(COUNTIF(Min_G!Q:Q,U27)=1,_xlfn.XLOOKUP(U27,Min_G!Q:Q,Min_G!$A:$A),INDEX(Min_G!$A:$A,MATCH(U27,Min_G!Q:Q,-1)+1)))))))))&amp;IF(U27="",""," pt(s)"))</f>
        <v/>
      </c>
      <c r="V28" s="177"/>
      <c r="W28" s="194"/>
      <c r="X28" s="139"/>
      <c r="Y28" s="140"/>
      <c r="Z28" s="226"/>
    </row>
    <row r="29" spans="1:26" ht="30" customHeight="1" thickTop="1" x14ac:dyDescent="0.3">
      <c r="A29" s="125">
        <v>4</v>
      </c>
      <c r="B29" s="127"/>
      <c r="C29" s="127"/>
      <c r="D29" s="129"/>
      <c r="E29" s="123" t="str">
        <f t="shared" ref="E29" si="8">IF(D29="","",IF(D29="F","MF","MG"))</f>
        <v/>
      </c>
      <c r="F29" s="50"/>
      <c r="G29" s="72"/>
      <c r="H29" s="81"/>
      <c r="I29" s="74"/>
      <c r="J29" s="50"/>
      <c r="K29" s="82"/>
      <c r="L29" s="74"/>
      <c r="M29" s="51"/>
      <c r="N29" s="45"/>
      <c r="O29" s="45"/>
      <c r="P29" s="45"/>
      <c r="Q29" s="46"/>
      <c r="R29" s="47"/>
      <c r="S29" s="45"/>
      <c r="T29" s="45"/>
      <c r="U29" s="46"/>
      <c r="V29" s="133"/>
      <c r="W29" s="194" t="str">
        <f t="shared" ref="W29" si="9">IF(V29="","",IF(E29="","",E29))</f>
        <v/>
      </c>
      <c r="X29" s="135" t="str">
        <f t="shared" ref="X29" si="10">IF(AND(E29="",COUNTA(F29:V29)&gt;0),"manque catégorie",IF(E29="","",IF(COUNTA(F29:V29)=0,"NON",IF(COUNTA(F29:U29)&gt;3,"NON",IF(COUNTA(F29:M29)&gt;1,"NON",IF(COUNTA(N29:Q29)&gt;1,"NON",IF(COUNTA(R29:U29)&gt;1,"NON",IF(AND(COUNTA(V29)=1,COUNTA(F29:U29)=0),"NON","OUI"))))))))</f>
        <v/>
      </c>
      <c r="Y29" s="136"/>
      <c r="Z29" s="226" t="str">
        <f t="shared" ref="Z29" si="11">IF(X29="","",IF(X29="manque catégorie","NON",IF(X29="NON","NON","OUI")))</f>
        <v/>
      </c>
    </row>
    <row r="30" spans="1:26" ht="30" customHeight="1" thickBot="1" x14ac:dyDescent="0.35">
      <c r="A30" s="126"/>
      <c r="B30" s="128"/>
      <c r="C30" s="128"/>
      <c r="D30" s="130"/>
      <c r="E30" s="124"/>
      <c r="F30" s="58" t="str" cm="1">
        <f t="array" ref="F30">IF(AND($D29="",F29&lt;&gt;""),"Genre?",IF(F29="","",IF(F29="x",0,IF(F29="DSQ",1,IF(F29="ABD",1,IF(F29="NP",0,IF($D29="F",IF(F29&lt;Min_F!B$2,Min_F!$A$2,IF(COUNTIF(Min_F!B:B,F29)=1,_xlfn.XLOOKUP(F29,Min_F!B:B,Min_F!$A:$A),INDEX(Min_F!$A:$A,MATCH(F29,Min_F!B:B)+1))),IF(F29&lt;Min_G!B$2,Min_G!$A$2,IF(COUNTIF(Min_G!B:B,F29)=1,_xlfn.XLOOKUP(F29,Min_G!B:B,Min_G!$A:$A),INDEX(Min_G!$A:$A,MATCH(F29,Min_G!B:B)+1)))))))))&amp;IF(F29="",""," pt(s)"))</f>
        <v/>
      </c>
      <c r="G30" s="71" t="str" cm="1">
        <f t="array" ref="G30">IF(AND($D29="",G29&lt;&gt;""),"Genre?",IF(G29="","",IF(G29="x",0,IF(G29="DSQ",1,IF(G29="ABD",1,IF(G29="NP",0,IF($D29="F",IF(G29&lt;Min_F!C$2,Min_F!$A$2,IF(COUNTIF(Min_F!C:C,G29)=1,_xlfn.XLOOKUP(G29,Min_F!C:C,Min_F!$A:$A),INDEX(Min_F!$A:$A,MATCH(G29,Min_F!C:C)+1))),IF(G29&lt;Min_G!C$2,Min_G!$A$2,IF(COUNTIF(Min_G!C:C,G29)=1,_xlfn.XLOOKUP(G29,Min_G!C:C,Min_G!$A:$A),INDEX(Min_G!$A:$A,MATCH(G29,Min_G!C:C)+1)))))))))&amp;IF(G29="",""," pt(s)"))</f>
        <v/>
      </c>
      <c r="H30" s="79" t="str" cm="1">
        <f t="array" ref="H30">IF(AND($D29="",H29&lt;&gt;""),"Genre?",IF(H29="","",IF(D29="G","G = 0",IF(H29="x",0,IF(H29="DSQ",1,IF(H29="ABD",1,IF(H29="NP",0,IF($D29="F",IF(H29&lt;Min_F!F$2,Min_F!$A$2,IF(COUNTIF(Min_F!F:F,H29)=1,_xlfn.XLOOKUP(H29,Min_F!F:F,Min_F!$A:$A),INDEX(Min_F!$A:$A,MATCH(H29,Min_F!F:F)+1))),IF(H29&lt;Min_G!F$2,Min_G!$A$2,IF(COUNTIF(Min_G!F:F,H29)=1,_xlfn.XLOOKUP(H29,Min_G!F:F,Min_G!$A:$A),INDEX(Min_G!$A:$A,MATCH(H29,Min_G!F:F)+1))))))))))&amp;IF(H29="",""," pt(s)"))</f>
        <v/>
      </c>
      <c r="I30" s="62" t="str" cm="1">
        <f t="array" ref="I30">IF(AND($D29="",I29&lt;&gt;""),"Genre?",IF(I29="","",IF(I29="x",0,IF(I29="DSQ",1,IF(I29="ABD",1,IF(I29="NP",0,IF($D29="F",IF(I29&lt;Min_F!G$2,Min_F!$A$2,IF(COUNTIF(Min_F!G:G,I29)=1,_xlfn.XLOOKUP(I29,Min_F!G:G,Min_F!$A:$A),INDEX(Min_F!$A:$A,MATCH(I29,Min_F!G:G)+1))),IF(I29&lt;Min_G!G$2,Min_G!$A$2,IF(COUNTIF(Min_G!G:G,I29)=1,_xlfn.XLOOKUP(I29,Min_G!G:G,Min_G!$A:$A),INDEX(Min_G!$A:$A,MATCH(I29,Min_G!G:G)+1)))))))))&amp;IF(I29="",""," pt(s)"))</f>
        <v/>
      </c>
      <c r="J30" s="58" t="str" cm="1">
        <f t="array" ref="J30">IF(AND($D29="",J29&lt;&gt;""),"Genre?",IF(J29="","",IF(D29="F","F = 0",IF(J29="x",0,IF(J29="DSQ",1,IF(J29="ABD",1,IF(J29="NP",0,IF($D29="F",IF(J29&lt;Min_F!H$2,Min_F!$A$2,IF(COUNTIF(Min_F!H:H,J29)=1,_xlfn.XLOOKUP(J29,Min_F!H:H,Min_F!$A:$A),INDEX(Min_F!$A:$A,MATCH(J29,Min_F!H:H)+1))),IF(J29&lt;Min_G!H$2,Min_G!$A$2,IF(COUNTIF(Min_G!H:H,J29)=1,_xlfn.XLOOKUP(J29,Min_G!H:H,Min_G!$A:$A),INDEX(Min_G!$A:$A,MATCH(J29,Min_G!H:H)+1))))))))))&amp;IF(J29="",""," pt(s)"))</f>
        <v/>
      </c>
      <c r="K30" s="80" t="str" cm="1">
        <f t="array" ref="K30">IF(AND($D29="",K29&lt;&gt;""),"Genre?",IF(K29="","",IF(K29="x",0,IF(K29="DSQ",1,IF(K29="ABD",1,IF(K29="NP",0,IF($D29="F",IF(K29&lt;Min_F!I$2,Min_F!$A$2,IF(COUNTIF(Min_F!I:I,K29)=1,_xlfn.XLOOKUP(K29,Min_F!I:I,Min_F!$A:$A),INDEX(Min_F!$A:$A,MATCH(K29,Min_F!I:I)+1))),IF(K29&lt;Min_G!I$2,Min_G!$A$2,IF(COUNTIF(Min_G!I:I,K29)=1,_xlfn.XLOOKUP(K29,Min_G!I:I,Min_G!$A:$A),INDEX(Min_G!$A:$A,MATCH(K29,Min_G!I:I)+1)))))))))&amp;IF(K29="",""," pt(s)"))</f>
        <v/>
      </c>
      <c r="L30" s="61" t="str" cm="1">
        <f t="array" ref="L30">IF(AND($D29="",L29&lt;&gt;""),"Genre?",IF(L29="","",IF(L29="x",0,IF(L29="DSQ",1,IF(L29="ABD",1,IF(L29="NP",0,IF($D29="F",IF(L29&lt;Min_F!D$2,Min_F!$A$2,IF(COUNTIF(Min_F!D:D,L29)=1,_xlfn.XLOOKUP(L29,Min_F!D:D,Min_F!$A:$A),INDEX(Min_F!$A:$A,MATCH(L29,Min_F!D:D)+1))),IF(L29&lt;Min_G!D$2,Min_G!$A$2,IF(COUNTIF(Min_G!D:D,L29)=1,_xlfn.XLOOKUP(L29,Min_G!D:D,Min_G!$A:$A),INDEX(Min_G!$A:$A,MATCH(L29,Min_G!D:D)+1)))))))))&amp;IF(L29="",""," pt(s)"))</f>
        <v/>
      </c>
      <c r="M30" s="59" t="str" cm="1">
        <f t="array" ref="M30">IF(AND($D29="",M29&lt;&gt;""),"Genre?",IF(M29="","",IF(M29="x",0,IF(M29="DSQ",1,IF(M29="ABD",1,IF(M29="NP",0,IF($D29="F",IF(M29&lt;Min_F!E$2,Min_F!$A$2,IF(COUNTIF(Min_F!E:E,M29)=1,_xlfn.XLOOKUP(M29,Min_F!E:E,Min_F!$A:$A),INDEX(Min_F!$A:$A,MATCH(M29,Min_F!E:E)+1))),IF(M29&lt;Min_G!E$2,Min_G!$A$2,IF(COUNTIF(Min_G!E:E,M29)=1,_xlfn.XLOOKUP(M29,Min_G!E:E,Min_G!$A:$A),INDEX(Min_G!$A:$A,MATCH(M29,Min_G!E:E)+1)))))))))&amp;IF(M29="",""," pt(s)"))</f>
        <v/>
      </c>
      <c r="N30" s="58" t="str" cm="1">
        <f t="array" ref="N30">IF(AND($D29="",N29&lt;&gt;""),"Genre?",IF(N29="","",IF(N29="x",0,IF(N29="DSQ",1,IF(N29="ABD",1,IF(N29="NP",0,IF($D29="F",IF(N29&gt;Min_F!J$2,Min_F!$A$2,IF(COUNTIF(Min_F!J:J,N29)=1,_xlfn.XLOOKUP(N29,Min_F!J:J,Min_F!$A:$A),INDEX(Min_F!$A:$A,MATCH(N29,Min_F!J:J,-1)+1))),IF(N29&gt;Min_G!J$2,Min_G!$A$2,IF(COUNTIF(Min_G!J:J,N29)=1,_xlfn.XLOOKUP(N29,Min_G!J:J,Min_G!$A:$A),INDEX(Min_G!$A:$A,MATCH(N29,Min_G!J:J,-1)+1)))))))))&amp;IF(N29="",""," pt(s)"))</f>
        <v/>
      </c>
      <c r="O30" s="58" t="str" cm="1">
        <f t="array" ref="O30">IF(AND($D29="",O29&lt;&gt;""),"Genre?",IF(O29="","",IF(O29="x",0,IF(O29="DSQ",1,IF(O29="ABD",1,IF(O29="NP",0,IF($D29="F",IF(O29&gt;Min_F!K$2,Min_F!$A$2,IF(COUNTIF(Min_F!K:K,O29)=1,_xlfn.XLOOKUP(O29,Min_F!K:K,Min_F!$A:$A),INDEX(Min_F!$A:$A,MATCH(O29,Min_F!K:K,-1)+1))),IF(O29&gt;Min_G!K$2,Min_G!$A$2,IF(COUNTIF(Min_G!K:K,O29)=1,_xlfn.XLOOKUP(O29,Min_G!K:K,Min_G!$A:$A),INDEX(Min_G!$A:$A,MATCH(O29,Min_G!K:K,-1)+1)))))))))&amp;IF(O29="",""," pt(s)"))</f>
        <v/>
      </c>
      <c r="P30" s="58" t="str" cm="1">
        <f t="array" ref="P30">IF(AND($D29="",P29&lt;&gt;""),"Genre?",IF(P29="","",IF(P29="x",0,IF(P29="DSQ",1,IF(P29="ABD",1,IF(P29="NP",0,IF($D29="F",IF(P29&gt;Min_F!L$2,Min_F!$A$2,IF(COUNTIF(Min_F!L:L,P29)=1,_xlfn.XLOOKUP(P29,Min_F!L:L,Min_F!$A:$A),INDEX(Min_F!$A:$A,MATCH(P29,Min_F!L:L,-1)+1))),IF(P29&gt;Min_G!L$2,Min_G!$A$2,IF(COUNTIF(Min_G!L:L,P29)=1,_xlfn.XLOOKUP(P29,Min_G!L:L,Min_G!$A:$A),INDEX(Min_G!$A:$A,MATCH(P29,Min_G!L:L,-1)+1)))))))))&amp;IF(P29="",""," pt(s)"))</f>
        <v/>
      </c>
      <c r="Q30" s="60" t="str" cm="1">
        <f t="array" ref="Q30">IF(AND($D29="",Q29&lt;&gt;""),"Genre?",IF(Q29="","",IF(Q29="x",0,IF(Q29="DSQ",1,IF(Q29="ABD",1,IF(Q29="NP",0,IF($D29="F",IF(Q29&gt;Min_F!M$2,Min_F!$A$2,IF(COUNTIF(Min_F!M:M,Q29)=1,_xlfn.XLOOKUP(Q29,Min_F!M:M,Min_F!$A:$A),INDEX(Min_F!$A:$A,MATCH(Q29,Min_F!M:M,-1)+1))),IF(Q29&gt;Min_G!M$2,Min_G!$A$2,IF(COUNTIF(Min_G!M:M,Q29)=1,_xlfn.XLOOKUP(Q29,Min_G!M:M,Min_G!$A:$A),INDEX(Min_G!$A:$A,MATCH(Q29,Min_G!M:M,-1)+1)))))))))&amp;IF(Q29="",""," pt(s)"))</f>
        <v/>
      </c>
      <c r="R30" s="61" t="str" cm="1">
        <f t="array" ref="R30">IF(AND($D29="",R29&lt;&gt;""),"Genre?",IF(R29="","",IF(R29="x",0,IF(R29="DSQ",1,IF(R29="ABD",1,IF(R29="NP",0,IF($D29="F",IF(R29&gt;Min_F!N$2,Min_F!$A$2,IF(COUNTIF(Min_F!N:N,R29)=1,_xlfn.XLOOKUP(R29,Min_F!N:N,Min_F!$A:$A),INDEX(Min_F!$A:$A,MATCH(R29,Min_F!N:N,-1)+1))),IF(R29&gt;Min_G!N$2,Min_G!$A$2,IF(COUNTIF(Min_G!N:N,R29)=1,_xlfn.XLOOKUP(R29,Min_G!N:N,Min_G!$A:$A),INDEX(Min_G!$A:$A,MATCH(R29,Min_G!N:N,-1)+1)))))))))&amp;IF(R29="",""," pt(s)"))</f>
        <v/>
      </c>
      <c r="S30" s="58" t="str" cm="1">
        <f t="array" ref="S30">IF(AND($D29="",S29&lt;&gt;""),"Genre?",IF(S29="","",IF(S29="x",0,IF(S29="DSQ",1,IF(S29="ABD",1,IF(S29="NP",0,IF($D29="F",IF(S29&gt;Min_F!O$2,Min_F!$A$2,IF(COUNTIF(Min_F!O:O,S29)=1,_xlfn.XLOOKUP(S29,Min_F!O:O,Min_F!$A:$A),INDEX(Min_F!$A:$A,MATCH(S29,Min_F!O:O,-1)+1))),IF(S29&gt;Min_G!O$2,Min_G!$A$2,IF(COUNTIF(Min_G!O:O,S29)=1,_xlfn.XLOOKUP(S29,Min_G!O:O,Min_G!$A:$A),INDEX(Min_G!$A:$A,MATCH(S29,Min_G!O:O,-1)+1)))))))))&amp;IF(S29="",""," pt(s)"))</f>
        <v/>
      </c>
      <c r="T30" s="58" t="str" cm="1">
        <f t="array" ref="T30">IF(AND($D29="",T29&lt;&gt;""),"Genre?",IF(T29="","",IF(T29="x",0,IF(T29="DSQ",1,IF(T29="ABD",1,IF(T29="NP",0,IF($D29="F",IF(T29&gt;Min_F!P$2,Min_F!$A$2,IF(COUNTIF(Min_F!P:P,T29)=1,_xlfn.XLOOKUP(T29,Min_F!P:P,Min_F!$A:$A),INDEX(Min_F!$A:$A,MATCH(T29,Min_F!P:P,-1)+1))),IF(T29&gt;Min_G!P$2,Min_G!$A$2,IF(COUNTIF(Min_G!P:P,T29)=1,_xlfn.XLOOKUP(T29,Min_G!P:P,Min_G!$A:$A),INDEX(Min_G!$A:$A,MATCH(T29,Min_G!P:P,-1)+1)))))))))&amp;IF(T29="",""," pt(s)"))</f>
        <v/>
      </c>
      <c r="U30" s="60" t="str" cm="1">
        <f t="array" ref="U30">IF(AND($D29="",U29&lt;&gt;""),"Genre?",IF(U29="","",IF(U29="x",0,IF(U29="DSQ",1,IF(U29="ABD",1,IF(U29="NP",0,IF($D29="F",IF(U29&gt;Min_F!Q$2,Min_F!$A$2,IF(COUNTIF(Min_F!Q:Q,U29)=1,_xlfn.XLOOKUP(U29,Min_F!Q:Q,Min_F!$A:$A),INDEX(Min_F!$A:$A,MATCH(U29,Min_F!Q:Q,-1)+1))),IF(U29&gt;Min_G!Q$2,Min_G!$A$2,IF(COUNTIF(Min_G!Q:Q,U29)=1,_xlfn.XLOOKUP(U29,Min_G!Q:Q,Min_G!$A:$A),INDEX(Min_G!$A:$A,MATCH(U29,Min_G!Q:Q,-1)+1)))))))))&amp;IF(U29="",""," pt(s)"))</f>
        <v/>
      </c>
      <c r="V30" s="134"/>
      <c r="W30" s="194"/>
      <c r="X30" s="139"/>
      <c r="Y30" s="140"/>
      <c r="Z30" s="226"/>
    </row>
    <row r="31" spans="1:26" ht="30" customHeight="1" thickTop="1" x14ac:dyDescent="0.3">
      <c r="A31" s="117">
        <v>5</v>
      </c>
      <c r="B31" s="119"/>
      <c r="C31" s="119"/>
      <c r="D31" s="121"/>
      <c r="E31" s="123" t="str">
        <f t="shared" ref="E31" si="12">IF(D31="","",IF(D31="F","MF","MG"))</f>
        <v/>
      </c>
      <c r="F31" s="52"/>
      <c r="G31" s="70"/>
      <c r="H31" s="77"/>
      <c r="I31" s="73"/>
      <c r="J31" s="52"/>
      <c r="K31" s="78"/>
      <c r="L31" s="73"/>
      <c r="M31" s="49"/>
      <c r="N31" s="41"/>
      <c r="O31" s="41"/>
      <c r="P31" s="41"/>
      <c r="Q31" s="42"/>
      <c r="R31" s="43"/>
      <c r="S31" s="41"/>
      <c r="T31" s="41"/>
      <c r="U31" s="42"/>
      <c r="V31" s="176"/>
      <c r="W31" s="194" t="str">
        <f t="shared" ref="W31" si="13">IF(V31="","",IF(E31="","",E31))</f>
        <v/>
      </c>
      <c r="X31" s="135" t="str">
        <f t="shared" ref="X31" si="14">IF(AND(E31="",COUNTA(F31:V31)&gt;0),"manque catégorie",IF(E31="","",IF(COUNTA(F31:V31)=0,"NON",IF(COUNTA(F31:U31)&gt;3,"NON",IF(COUNTA(F31:M31)&gt;1,"NON",IF(COUNTA(N31:Q31)&gt;1,"NON",IF(COUNTA(R31:U31)&gt;1,"NON",IF(AND(COUNTA(V31)=1,COUNTA(F31:U31)=0),"NON","OUI"))))))))</f>
        <v/>
      </c>
      <c r="Y31" s="136"/>
      <c r="Z31" s="226" t="str">
        <f t="shared" ref="Z31" si="15">IF(X31="","",IF(X31="manque catégorie","NON",IF(X31="NON","NON","OUI")))</f>
        <v/>
      </c>
    </row>
    <row r="32" spans="1:26" ht="30" customHeight="1" thickBot="1" x14ac:dyDescent="0.35">
      <c r="A32" s="118"/>
      <c r="B32" s="120"/>
      <c r="C32" s="120"/>
      <c r="D32" s="122"/>
      <c r="E32" s="124"/>
      <c r="F32" s="58" t="str" cm="1">
        <f t="array" ref="F32">IF(AND($D31="",F31&lt;&gt;""),"Genre?",IF(F31="","",IF(F31="x",0,IF(F31="DSQ",1,IF(F31="ABD",1,IF(F31="NP",0,IF($D31="F",IF(F31&lt;Min_F!B$2,Min_F!$A$2,IF(COUNTIF(Min_F!B:B,F31)=1,_xlfn.XLOOKUP(F31,Min_F!B:B,Min_F!$A:$A),INDEX(Min_F!$A:$A,MATCH(F31,Min_F!B:B)+1))),IF(F31&lt;Min_G!B$2,Min_G!$A$2,IF(COUNTIF(Min_G!B:B,F31)=1,_xlfn.XLOOKUP(F31,Min_G!B:B,Min_G!$A:$A),INDEX(Min_G!$A:$A,MATCH(F31,Min_G!B:B)+1)))))))))&amp;IF(F31="",""," pt(s)"))</f>
        <v/>
      </c>
      <c r="G32" s="71" t="str" cm="1">
        <f t="array" ref="G32">IF(AND($D31="",G31&lt;&gt;""),"Genre?",IF(G31="","",IF(G31="x",0,IF(G31="DSQ",1,IF(G31="ABD",1,IF(G31="NP",0,IF($D31="F",IF(G31&lt;Min_F!C$2,Min_F!$A$2,IF(COUNTIF(Min_F!C:C,G31)=1,_xlfn.XLOOKUP(G31,Min_F!C:C,Min_F!$A:$A),INDEX(Min_F!$A:$A,MATCH(G31,Min_F!C:C)+1))),IF(G31&lt;Min_G!C$2,Min_G!$A$2,IF(COUNTIF(Min_G!C:C,G31)=1,_xlfn.XLOOKUP(G31,Min_G!C:C,Min_G!$A:$A),INDEX(Min_G!$A:$A,MATCH(G31,Min_G!C:C)+1)))))))))&amp;IF(G31="",""," pt(s)"))</f>
        <v/>
      </c>
      <c r="H32" s="79" t="str" cm="1">
        <f t="array" ref="H32">IF(AND($D31="",H31&lt;&gt;""),"Genre?",IF(H31="","",IF(D31="G","G = 0",IF(H31="x",0,IF(H31="DSQ",1,IF(H31="ABD",1,IF(H31="NP",0,IF($D31="F",IF(H31&lt;Min_F!F$2,Min_F!$A$2,IF(COUNTIF(Min_F!F:F,H31)=1,_xlfn.XLOOKUP(H31,Min_F!F:F,Min_F!$A:$A),INDEX(Min_F!$A:$A,MATCH(H31,Min_F!F:F)+1))),IF(H31&lt;Min_G!F$2,Min_G!$A$2,IF(COUNTIF(Min_G!F:F,H31)=1,_xlfn.XLOOKUP(H31,Min_G!F:F,Min_G!$A:$A),INDEX(Min_G!$A:$A,MATCH(H31,Min_G!F:F)+1))))))))))&amp;IF(H31="",""," pt(s)"))</f>
        <v/>
      </c>
      <c r="I32" s="62" t="str" cm="1">
        <f t="array" ref="I32">IF(AND($D31="",I31&lt;&gt;""),"Genre?",IF(I31="","",IF(I31="x",0,IF(I31="DSQ",1,IF(I31="ABD",1,IF(I31="NP",0,IF($D31="F",IF(I31&lt;Min_F!G$2,Min_F!$A$2,IF(COUNTIF(Min_F!G:G,I31)=1,_xlfn.XLOOKUP(I31,Min_F!G:G,Min_F!$A:$A),INDEX(Min_F!$A:$A,MATCH(I31,Min_F!G:G)+1))),IF(I31&lt;Min_G!G$2,Min_G!$A$2,IF(COUNTIF(Min_G!G:G,I31)=1,_xlfn.XLOOKUP(I31,Min_G!G:G,Min_G!$A:$A),INDEX(Min_G!$A:$A,MATCH(I31,Min_G!G:G)+1)))))))))&amp;IF(I31="",""," pt(s)"))</f>
        <v/>
      </c>
      <c r="J32" s="58" t="str" cm="1">
        <f t="array" ref="J32">IF(AND($D31="",J31&lt;&gt;""),"Genre?",IF(J31="","",IF(D31="F","F = 0",IF(J31="x",0,IF(J31="DSQ",1,IF(J31="ABD",1,IF(J31="NP",0,IF($D31="F",IF(J31&lt;Min_F!H$2,Min_F!$A$2,IF(COUNTIF(Min_F!H:H,J31)=1,_xlfn.XLOOKUP(J31,Min_F!H:H,Min_F!$A:$A),INDEX(Min_F!$A:$A,MATCH(J31,Min_F!H:H)+1))),IF(J31&lt;Min_G!H$2,Min_G!$A$2,IF(COUNTIF(Min_G!H:H,J31)=1,_xlfn.XLOOKUP(J31,Min_G!H:H,Min_G!$A:$A),INDEX(Min_G!$A:$A,MATCH(J31,Min_G!H:H)+1))))))))))&amp;IF(J31="",""," pt(s)"))</f>
        <v/>
      </c>
      <c r="K32" s="80" t="str" cm="1">
        <f t="array" ref="K32">IF(AND($D31="",K31&lt;&gt;""),"Genre?",IF(K31="","",IF(K31="x",0,IF(K31="DSQ",1,IF(K31="ABD",1,IF(K31="NP",0,IF($D31="F",IF(K31&lt;Min_F!I$2,Min_F!$A$2,IF(COUNTIF(Min_F!I:I,K31)=1,_xlfn.XLOOKUP(K31,Min_F!I:I,Min_F!$A:$A),INDEX(Min_F!$A:$A,MATCH(K31,Min_F!I:I)+1))),IF(K31&lt;Min_G!I$2,Min_G!$A$2,IF(COUNTIF(Min_G!I:I,K31)=1,_xlfn.XLOOKUP(K31,Min_G!I:I,Min_G!$A:$A),INDEX(Min_G!$A:$A,MATCH(K31,Min_G!I:I)+1)))))))))&amp;IF(K31="",""," pt(s)"))</f>
        <v/>
      </c>
      <c r="L32" s="61" t="str" cm="1">
        <f t="array" ref="L32">IF(AND($D31="",L31&lt;&gt;""),"Genre?",IF(L31="","",IF(L31="x",0,IF(L31="DSQ",1,IF(L31="ABD",1,IF(L31="NP",0,IF($D31="F",IF(L31&lt;Min_F!D$2,Min_F!$A$2,IF(COUNTIF(Min_F!D:D,L31)=1,_xlfn.XLOOKUP(L31,Min_F!D:D,Min_F!$A:$A),INDEX(Min_F!$A:$A,MATCH(L31,Min_F!D:D)+1))),IF(L31&lt;Min_G!D$2,Min_G!$A$2,IF(COUNTIF(Min_G!D:D,L31)=1,_xlfn.XLOOKUP(L31,Min_G!D:D,Min_G!$A:$A),INDEX(Min_G!$A:$A,MATCH(L31,Min_G!D:D)+1)))))))))&amp;IF(L31="",""," pt(s)"))</f>
        <v/>
      </c>
      <c r="M32" s="59" t="str" cm="1">
        <f t="array" ref="M32">IF(AND($D31="",M31&lt;&gt;""),"Genre?",IF(M31="","",IF(M31="x",0,IF(M31="DSQ",1,IF(M31="ABD",1,IF(M31="NP",0,IF($D31="F",IF(M31&lt;Min_F!E$2,Min_F!$A$2,IF(COUNTIF(Min_F!E:E,M31)=1,_xlfn.XLOOKUP(M31,Min_F!E:E,Min_F!$A:$A),INDEX(Min_F!$A:$A,MATCH(M31,Min_F!E:E)+1))),IF(M31&lt;Min_G!E$2,Min_G!$A$2,IF(COUNTIF(Min_G!E:E,M31)=1,_xlfn.XLOOKUP(M31,Min_G!E:E,Min_G!$A:$A),INDEX(Min_G!$A:$A,MATCH(M31,Min_G!E:E)+1)))))))))&amp;IF(M31="",""," pt(s)"))</f>
        <v/>
      </c>
      <c r="N32" s="58" t="str" cm="1">
        <f t="array" ref="N32">IF(AND($D31="",N31&lt;&gt;""),"Genre?",IF(N31="","",IF(N31="x",0,IF(N31="DSQ",1,IF(N31="ABD",1,IF(N31="NP",0,IF($D31="F",IF(N31&gt;Min_F!J$2,Min_F!$A$2,IF(COUNTIF(Min_F!J:J,N31)=1,_xlfn.XLOOKUP(N31,Min_F!J:J,Min_F!$A:$A),INDEX(Min_F!$A:$A,MATCH(N31,Min_F!J:J,-1)+1))),IF(N31&gt;Min_G!J$2,Min_G!$A$2,IF(COUNTIF(Min_G!J:J,N31)=1,_xlfn.XLOOKUP(N31,Min_G!J:J,Min_G!$A:$A),INDEX(Min_G!$A:$A,MATCH(N31,Min_G!J:J,-1)+1)))))))))&amp;IF(N31="",""," pt(s)"))</f>
        <v/>
      </c>
      <c r="O32" s="58" t="str" cm="1">
        <f t="array" ref="O32">IF(AND($D31="",O31&lt;&gt;""),"Genre?",IF(O31="","",IF(O31="x",0,IF(O31="DSQ",1,IF(O31="ABD",1,IF(O31="NP",0,IF($D31="F",IF(O31&gt;Min_F!K$2,Min_F!$A$2,IF(COUNTIF(Min_F!K:K,O31)=1,_xlfn.XLOOKUP(O31,Min_F!K:K,Min_F!$A:$A),INDEX(Min_F!$A:$A,MATCH(O31,Min_F!K:K,-1)+1))),IF(O31&gt;Min_G!K$2,Min_G!$A$2,IF(COUNTIF(Min_G!K:K,O31)=1,_xlfn.XLOOKUP(O31,Min_G!K:K,Min_G!$A:$A),INDEX(Min_G!$A:$A,MATCH(O31,Min_G!K:K,-1)+1)))))))))&amp;IF(O31="",""," pt(s)"))</f>
        <v/>
      </c>
      <c r="P32" s="58" t="str" cm="1">
        <f t="array" ref="P32">IF(AND($D31="",P31&lt;&gt;""),"Genre?",IF(P31="","",IF(P31="x",0,IF(P31="DSQ",1,IF(P31="ABD",1,IF(P31="NP",0,IF($D31="F",IF(P31&gt;Min_F!L$2,Min_F!$A$2,IF(COUNTIF(Min_F!L:L,P31)=1,_xlfn.XLOOKUP(P31,Min_F!L:L,Min_F!$A:$A),INDEX(Min_F!$A:$A,MATCH(P31,Min_F!L:L,-1)+1))),IF(P31&gt;Min_G!L$2,Min_G!$A$2,IF(COUNTIF(Min_G!L:L,P31)=1,_xlfn.XLOOKUP(P31,Min_G!L:L,Min_G!$A:$A),INDEX(Min_G!$A:$A,MATCH(P31,Min_G!L:L,-1)+1)))))))))&amp;IF(P31="",""," pt(s)"))</f>
        <v/>
      </c>
      <c r="Q32" s="60" t="str" cm="1">
        <f t="array" ref="Q32">IF(AND($D31="",Q31&lt;&gt;""),"Genre?",IF(Q31="","",IF(Q31="x",0,IF(Q31="DSQ",1,IF(Q31="ABD",1,IF(Q31="NP",0,IF($D31="F",IF(Q31&gt;Min_F!M$2,Min_F!$A$2,IF(COUNTIF(Min_F!M:M,Q31)=1,_xlfn.XLOOKUP(Q31,Min_F!M:M,Min_F!$A:$A),INDEX(Min_F!$A:$A,MATCH(Q31,Min_F!M:M,-1)+1))),IF(Q31&gt;Min_G!M$2,Min_G!$A$2,IF(COUNTIF(Min_G!M:M,Q31)=1,_xlfn.XLOOKUP(Q31,Min_G!M:M,Min_G!$A:$A),INDEX(Min_G!$A:$A,MATCH(Q31,Min_G!M:M,-1)+1)))))))))&amp;IF(Q31="",""," pt(s)"))</f>
        <v/>
      </c>
      <c r="R32" s="61" t="str" cm="1">
        <f t="array" ref="R32">IF(AND($D31="",R31&lt;&gt;""),"Genre?",IF(R31="","",IF(R31="x",0,IF(R31="DSQ",1,IF(R31="ABD",1,IF(R31="NP",0,IF($D31="F",IF(R31&gt;Min_F!N$2,Min_F!$A$2,IF(COUNTIF(Min_F!N:N,R31)=1,_xlfn.XLOOKUP(R31,Min_F!N:N,Min_F!$A:$A),INDEX(Min_F!$A:$A,MATCH(R31,Min_F!N:N,-1)+1))),IF(R31&gt;Min_G!N$2,Min_G!$A$2,IF(COUNTIF(Min_G!N:N,R31)=1,_xlfn.XLOOKUP(R31,Min_G!N:N,Min_G!$A:$A),INDEX(Min_G!$A:$A,MATCH(R31,Min_G!N:N,-1)+1)))))))))&amp;IF(R31="",""," pt(s)"))</f>
        <v/>
      </c>
      <c r="S32" s="58" t="str" cm="1">
        <f t="array" ref="S32">IF(AND($D31="",S31&lt;&gt;""),"Genre?",IF(S31="","",IF(S31="x",0,IF(S31="DSQ",1,IF(S31="ABD",1,IF(S31="NP",0,IF($D31="F",IF(S31&gt;Min_F!O$2,Min_F!$A$2,IF(COUNTIF(Min_F!O:O,S31)=1,_xlfn.XLOOKUP(S31,Min_F!O:O,Min_F!$A:$A),INDEX(Min_F!$A:$A,MATCH(S31,Min_F!O:O,-1)+1))),IF(S31&gt;Min_G!O$2,Min_G!$A$2,IF(COUNTIF(Min_G!O:O,S31)=1,_xlfn.XLOOKUP(S31,Min_G!O:O,Min_G!$A:$A),INDEX(Min_G!$A:$A,MATCH(S31,Min_G!O:O,-1)+1)))))))))&amp;IF(S31="",""," pt(s)"))</f>
        <v/>
      </c>
      <c r="T32" s="58" t="str" cm="1">
        <f t="array" ref="T32">IF(AND($D31="",T31&lt;&gt;""),"Genre?",IF(T31="","",IF(T31="x",0,IF(T31="DSQ",1,IF(T31="ABD",1,IF(T31="NP",0,IF($D31="F",IF(T31&gt;Min_F!P$2,Min_F!$A$2,IF(COUNTIF(Min_F!P:P,T31)=1,_xlfn.XLOOKUP(T31,Min_F!P:P,Min_F!$A:$A),INDEX(Min_F!$A:$A,MATCH(T31,Min_F!P:P,-1)+1))),IF(T31&gt;Min_G!P$2,Min_G!$A$2,IF(COUNTIF(Min_G!P:P,T31)=1,_xlfn.XLOOKUP(T31,Min_G!P:P,Min_G!$A:$A),INDEX(Min_G!$A:$A,MATCH(T31,Min_G!P:P,-1)+1)))))))))&amp;IF(T31="",""," pt(s)"))</f>
        <v/>
      </c>
      <c r="U32" s="60" t="str" cm="1">
        <f t="array" ref="U32">IF(AND($D31="",U31&lt;&gt;""),"Genre?",IF(U31="","",IF(U31="x",0,IF(U31="DSQ",1,IF(U31="ABD",1,IF(U31="NP",0,IF($D31="F",IF(U31&gt;Min_F!Q$2,Min_F!$A$2,IF(COUNTIF(Min_F!Q:Q,U31)=1,_xlfn.XLOOKUP(U31,Min_F!Q:Q,Min_F!$A:$A),INDEX(Min_F!$A:$A,MATCH(U31,Min_F!Q:Q,-1)+1))),IF(U31&gt;Min_G!Q$2,Min_G!$A$2,IF(COUNTIF(Min_G!Q:Q,U31)=1,_xlfn.XLOOKUP(U31,Min_G!Q:Q,Min_G!$A:$A),INDEX(Min_G!$A:$A,MATCH(U31,Min_G!Q:Q,-1)+1)))))))))&amp;IF(U31="",""," pt(s)"))</f>
        <v/>
      </c>
      <c r="V32" s="177"/>
      <c r="W32" s="194"/>
      <c r="X32" s="139"/>
      <c r="Y32" s="140"/>
      <c r="Z32" s="226"/>
    </row>
    <row r="33" spans="1:26" ht="30" customHeight="1" thickTop="1" x14ac:dyDescent="0.3">
      <c r="A33" s="157">
        <v>6</v>
      </c>
      <c r="B33" s="159"/>
      <c r="C33" s="159"/>
      <c r="D33" s="129"/>
      <c r="E33" s="123" t="str">
        <f t="shared" ref="E33" si="16">IF(D33="","",IF(D33="F","MF","MG"))</f>
        <v/>
      </c>
      <c r="F33" s="101"/>
      <c r="G33" s="102"/>
      <c r="H33" s="103"/>
      <c r="I33" s="104"/>
      <c r="J33" s="101"/>
      <c r="K33" s="105"/>
      <c r="L33" s="104"/>
      <c r="M33" s="106"/>
      <c r="N33" s="107"/>
      <c r="O33" s="107"/>
      <c r="P33" s="107"/>
      <c r="Q33" s="108"/>
      <c r="R33" s="109"/>
      <c r="S33" s="107"/>
      <c r="T33" s="107"/>
      <c r="U33" s="108"/>
      <c r="V33" s="178"/>
      <c r="W33" s="194" t="str">
        <f t="shared" ref="W33" si="17">IF(V33="","",IF(E33="","",E33))</f>
        <v/>
      </c>
      <c r="X33" s="135" t="str">
        <f t="shared" ref="X33" si="18">IF(AND(E33="",COUNTA(F33:V33)&gt;0),"manque catégorie",IF(E33="","",IF(COUNTA(F33:V33)=0,"NON",IF(COUNTA(F33:U33)&gt;3,"NON",IF(COUNTA(F33:M33)&gt;1,"NON",IF(COUNTA(N33:Q33)&gt;1,"NON",IF(COUNTA(R33:U33)&gt;1,"NON",IF(AND(COUNTA(V33)=1,COUNTA(F33:U33)=0),"NON","OUI"))))))))</f>
        <v/>
      </c>
      <c r="Y33" s="136"/>
      <c r="Z33" s="226" t="str">
        <f t="shared" ref="Z33" si="19">IF(X33="","",IF(X33="manque catégorie","NON",IF(X33="NON","NON","OUI")))</f>
        <v/>
      </c>
    </row>
    <row r="34" spans="1:26" ht="30" customHeight="1" thickBot="1" x14ac:dyDescent="0.35">
      <c r="A34" s="158"/>
      <c r="B34" s="160"/>
      <c r="C34" s="160"/>
      <c r="D34" s="130"/>
      <c r="E34" s="124"/>
      <c r="F34" s="58" t="str" cm="1">
        <f t="array" ref="F34">IF(AND($D33="",F33&lt;&gt;""),"Genre?",IF(F33="","",IF(F33="x",0,IF(F33="DSQ",1,IF(F33="ABD",1,IF(F33="NP",0,IF($D33="F",IF(F33&lt;Min_F!B$2,Min_F!$A$2,IF(COUNTIF(Min_F!B:B,F33)=1,_xlfn.XLOOKUP(F33,Min_F!B:B,Min_F!$A:$A),INDEX(Min_F!$A:$A,MATCH(F33,Min_F!B:B)+1))),IF(F33&lt;Min_G!B$2,Min_G!$A$2,IF(COUNTIF(Min_G!B:B,F33)=1,_xlfn.XLOOKUP(F33,Min_G!B:B,Min_G!$A:$A),INDEX(Min_G!$A:$A,MATCH(F33,Min_G!B:B)+1)))))))))&amp;IF(F33="",""," pt(s)"))</f>
        <v/>
      </c>
      <c r="G34" s="71" t="str" cm="1">
        <f t="array" ref="G34">IF(AND($D33="",G33&lt;&gt;""),"Genre?",IF(G33="","",IF(G33="x",0,IF(G33="DSQ",1,IF(G33="ABD",1,IF(G33="NP",0,IF($D33="F",IF(G33&lt;Min_F!C$2,Min_F!$A$2,IF(COUNTIF(Min_F!C:C,G33)=1,_xlfn.XLOOKUP(G33,Min_F!C:C,Min_F!$A:$A),INDEX(Min_F!$A:$A,MATCH(G33,Min_F!C:C)+1))),IF(G33&lt;Min_G!C$2,Min_G!$A$2,IF(COUNTIF(Min_G!C:C,G33)=1,_xlfn.XLOOKUP(G33,Min_G!C:C,Min_G!$A:$A),INDEX(Min_G!$A:$A,MATCH(G33,Min_G!C:C)+1)))))))))&amp;IF(G33="",""," pt(s)"))</f>
        <v/>
      </c>
      <c r="H34" s="79" t="str" cm="1">
        <f t="array" ref="H34">IF(AND($D33="",H33&lt;&gt;""),"Genre?",IF(H33="","",IF(D33="G","G = 0",IF(H33="x",0,IF(H33="DSQ",1,IF(H33="ABD",1,IF(H33="NP",0,IF($D33="F",IF(H33&lt;Min_F!F$2,Min_F!$A$2,IF(COUNTIF(Min_F!F:F,H33)=1,_xlfn.XLOOKUP(H33,Min_F!F:F,Min_F!$A:$A),INDEX(Min_F!$A:$A,MATCH(H33,Min_F!F:F)+1))),IF(H33&lt;Min_G!F$2,Min_G!$A$2,IF(COUNTIF(Min_G!F:F,H33)=1,_xlfn.XLOOKUP(H33,Min_G!F:F,Min_G!$A:$A),INDEX(Min_G!$A:$A,MATCH(H33,Min_G!F:F)+1))))))))))&amp;IF(H33="",""," pt(s)"))</f>
        <v/>
      </c>
      <c r="I34" s="62" t="str" cm="1">
        <f t="array" ref="I34">IF(AND($D33="",I33&lt;&gt;""),"Genre?",IF(I33="","",IF(I33="x",0,IF(I33="DSQ",1,IF(I33="ABD",1,IF(I33="NP",0,IF($D33="F",IF(I33&lt;Min_F!G$2,Min_F!$A$2,IF(COUNTIF(Min_F!G:G,I33)=1,_xlfn.XLOOKUP(I33,Min_F!G:G,Min_F!$A:$A),INDEX(Min_F!$A:$A,MATCH(I33,Min_F!G:G)+1))),IF(I33&lt;Min_G!G$2,Min_G!$A$2,IF(COUNTIF(Min_G!G:G,I33)=1,_xlfn.XLOOKUP(I33,Min_G!G:G,Min_G!$A:$A),INDEX(Min_G!$A:$A,MATCH(I33,Min_G!G:G)+1)))))))))&amp;IF(I33="",""," pt(s)"))</f>
        <v/>
      </c>
      <c r="J34" s="58" t="str" cm="1">
        <f t="array" ref="J34">IF(AND($D33="",J33&lt;&gt;""),"Genre?",IF(J33="","",IF(D33="F","F = 0",IF(J33="x",0,IF(J33="DSQ",1,IF(J33="ABD",1,IF(J33="NP",0,IF($D33="F",IF(J33&lt;Min_F!H$2,Min_F!$A$2,IF(COUNTIF(Min_F!H:H,J33)=1,_xlfn.XLOOKUP(J33,Min_F!H:H,Min_F!$A:$A),INDEX(Min_F!$A:$A,MATCH(J33,Min_F!H:H)+1))),IF(J33&lt;Min_G!H$2,Min_G!$A$2,IF(COUNTIF(Min_G!H:H,J33)=1,_xlfn.XLOOKUP(J33,Min_G!H:H,Min_G!$A:$A),INDEX(Min_G!$A:$A,MATCH(J33,Min_G!H:H)+1))))))))))&amp;IF(J33="",""," pt(s)"))</f>
        <v/>
      </c>
      <c r="K34" s="80" t="str" cm="1">
        <f t="array" ref="K34">IF(AND($D33="",K33&lt;&gt;""),"Genre?",IF(K33="","",IF(K33="x",0,IF(K33="DSQ",1,IF(K33="ABD",1,IF(K33="NP",0,IF($D33="F",IF(K33&lt;Min_F!I$2,Min_F!$A$2,IF(COUNTIF(Min_F!I:I,K33)=1,_xlfn.XLOOKUP(K33,Min_F!I:I,Min_F!$A:$A),INDEX(Min_F!$A:$A,MATCH(K33,Min_F!I:I)+1))),IF(K33&lt;Min_G!I$2,Min_G!$A$2,IF(COUNTIF(Min_G!I:I,K33)=1,_xlfn.XLOOKUP(K33,Min_G!I:I,Min_G!$A:$A),INDEX(Min_G!$A:$A,MATCH(K33,Min_G!I:I)+1)))))))))&amp;IF(K33="",""," pt(s)"))</f>
        <v/>
      </c>
      <c r="L34" s="61" t="str" cm="1">
        <f t="array" ref="L34">IF(AND($D33="",L33&lt;&gt;""),"Genre?",IF(L33="","",IF(L33="x",0,IF(L33="DSQ",1,IF(L33="ABD",1,IF(L33="NP",0,IF($D33="F",IF(L33&lt;Min_F!D$2,Min_F!$A$2,IF(COUNTIF(Min_F!D:D,L33)=1,_xlfn.XLOOKUP(L33,Min_F!D:D,Min_F!$A:$A),INDEX(Min_F!$A:$A,MATCH(L33,Min_F!D:D)+1))),IF(L33&lt;Min_G!D$2,Min_G!$A$2,IF(COUNTIF(Min_G!D:D,L33)=1,_xlfn.XLOOKUP(L33,Min_G!D:D,Min_G!$A:$A),INDEX(Min_G!$A:$A,MATCH(L33,Min_G!D:D)+1)))))))))&amp;IF(L33="",""," pt(s)"))</f>
        <v/>
      </c>
      <c r="M34" s="59" t="str" cm="1">
        <f t="array" ref="M34">IF(AND($D33="",M33&lt;&gt;""),"Genre?",IF(M33="","",IF(M33="x",0,IF(M33="DSQ",1,IF(M33="ABD",1,IF(M33="NP",0,IF($D33="F",IF(M33&lt;Min_F!E$2,Min_F!$A$2,IF(COUNTIF(Min_F!E:E,M33)=1,_xlfn.XLOOKUP(M33,Min_F!E:E,Min_F!$A:$A),INDEX(Min_F!$A:$A,MATCH(M33,Min_F!E:E)+1))),IF(M33&lt;Min_G!E$2,Min_G!$A$2,IF(COUNTIF(Min_G!E:E,M33)=1,_xlfn.XLOOKUP(M33,Min_G!E:E,Min_G!$A:$A),INDEX(Min_G!$A:$A,MATCH(M33,Min_G!E:E)+1)))))))))&amp;IF(M33="",""," pt(s)"))</f>
        <v/>
      </c>
      <c r="N34" s="58" t="str" cm="1">
        <f t="array" ref="N34">IF(AND($D33="",N33&lt;&gt;""),"Genre?",IF(N33="","",IF(N33="x",0,IF(N33="DSQ",1,IF(N33="ABD",1,IF(N33="NP",0,IF($D33="F",IF(N33&gt;Min_F!J$2,Min_F!$A$2,IF(COUNTIF(Min_F!J:J,N33)=1,_xlfn.XLOOKUP(N33,Min_F!J:J,Min_F!$A:$A),INDEX(Min_F!$A:$A,MATCH(N33,Min_F!J:J,-1)+1))),IF(N33&gt;Min_G!J$2,Min_G!$A$2,IF(COUNTIF(Min_G!J:J,N33)=1,_xlfn.XLOOKUP(N33,Min_G!J:J,Min_G!$A:$A),INDEX(Min_G!$A:$A,MATCH(N33,Min_G!J:J,-1)+1)))))))))&amp;IF(N33="",""," pt(s)"))</f>
        <v/>
      </c>
      <c r="O34" s="58" t="str" cm="1">
        <f t="array" ref="O34">IF(AND($D33="",O33&lt;&gt;""),"Genre?",IF(O33="","",IF(O33="x",0,IF(O33="DSQ",1,IF(O33="ABD",1,IF(O33="NP",0,IF($D33="F",IF(O33&gt;Min_F!K$2,Min_F!$A$2,IF(COUNTIF(Min_F!K:K,O33)=1,_xlfn.XLOOKUP(O33,Min_F!K:K,Min_F!$A:$A),INDEX(Min_F!$A:$A,MATCH(O33,Min_F!K:K,-1)+1))),IF(O33&gt;Min_G!K$2,Min_G!$A$2,IF(COUNTIF(Min_G!K:K,O33)=1,_xlfn.XLOOKUP(O33,Min_G!K:K,Min_G!$A:$A),INDEX(Min_G!$A:$A,MATCH(O33,Min_G!K:K,-1)+1)))))))))&amp;IF(O33="",""," pt(s)"))</f>
        <v/>
      </c>
      <c r="P34" s="58" t="str" cm="1">
        <f t="array" ref="P34">IF(AND($D33="",P33&lt;&gt;""),"Genre?",IF(P33="","",IF(P33="x",0,IF(P33="DSQ",1,IF(P33="ABD",1,IF(P33="NP",0,IF($D33="F",IF(P33&gt;Min_F!L$2,Min_F!$A$2,IF(COUNTIF(Min_F!L:L,P33)=1,_xlfn.XLOOKUP(P33,Min_F!L:L,Min_F!$A:$A),INDEX(Min_F!$A:$A,MATCH(P33,Min_F!L:L,-1)+1))),IF(P33&gt;Min_G!L$2,Min_G!$A$2,IF(COUNTIF(Min_G!L:L,P33)=1,_xlfn.XLOOKUP(P33,Min_G!L:L,Min_G!$A:$A),INDEX(Min_G!$A:$A,MATCH(P33,Min_G!L:L,-1)+1)))))))))&amp;IF(P33="",""," pt(s)"))</f>
        <v/>
      </c>
      <c r="Q34" s="60" t="str" cm="1">
        <f t="array" ref="Q34">IF(AND($D33="",Q33&lt;&gt;""),"Genre?",IF(Q33="","",IF(Q33="x",0,IF(Q33="DSQ",1,IF(Q33="ABD",1,IF(Q33="NP",0,IF($D33="F",IF(Q33&gt;Min_F!M$2,Min_F!$A$2,IF(COUNTIF(Min_F!M:M,Q33)=1,_xlfn.XLOOKUP(Q33,Min_F!M:M,Min_F!$A:$A),INDEX(Min_F!$A:$A,MATCH(Q33,Min_F!M:M,-1)+1))),IF(Q33&gt;Min_G!M$2,Min_G!$A$2,IF(COUNTIF(Min_G!M:M,Q33)=1,_xlfn.XLOOKUP(Q33,Min_G!M:M,Min_G!$A:$A),INDEX(Min_G!$A:$A,MATCH(Q33,Min_G!M:M,-1)+1)))))))))&amp;IF(Q33="",""," pt(s)"))</f>
        <v/>
      </c>
      <c r="R34" s="61" t="str" cm="1">
        <f t="array" ref="R34">IF(AND($D33="",R33&lt;&gt;""),"Genre?",IF(R33="","",IF(R33="x",0,IF(R33="DSQ",1,IF(R33="ABD",1,IF(R33="NP",0,IF($D33="F",IF(R33&gt;Min_F!N$2,Min_F!$A$2,IF(COUNTIF(Min_F!N:N,R33)=1,_xlfn.XLOOKUP(R33,Min_F!N:N,Min_F!$A:$A),INDEX(Min_F!$A:$A,MATCH(R33,Min_F!N:N,-1)+1))),IF(R33&gt;Min_G!N$2,Min_G!$A$2,IF(COUNTIF(Min_G!N:N,R33)=1,_xlfn.XLOOKUP(R33,Min_G!N:N,Min_G!$A:$A),INDEX(Min_G!$A:$A,MATCH(R33,Min_G!N:N,-1)+1)))))))))&amp;IF(R33="",""," pt(s)"))</f>
        <v/>
      </c>
      <c r="S34" s="58" t="str" cm="1">
        <f t="array" ref="S34">IF(AND($D33="",S33&lt;&gt;""),"Genre?",IF(S33="","",IF(S33="x",0,IF(S33="DSQ",1,IF(S33="ABD",1,IF(S33="NP",0,IF($D33="F",IF(S33&gt;Min_F!O$2,Min_F!$A$2,IF(COUNTIF(Min_F!O:O,S33)=1,_xlfn.XLOOKUP(S33,Min_F!O:O,Min_F!$A:$A),INDEX(Min_F!$A:$A,MATCH(S33,Min_F!O:O,-1)+1))),IF(S33&gt;Min_G!O$2,Min_G!$A$2,IF(COUNTIF(Min_G!O:O,S33)=1,_xlfn.XLOOKUP(S33,Min_G!O:O,Min_G!$A:$A),INDEX(Min_G!$A:$A,MATCH(S33,Min_G!O:O,-1)+1)))))))))&amp;IF(S33="",""," pt(s)"))</f>
        <v/>
      </c>
      <c r="T34" s="58" t="str" cm="1">
        <f t="array" ref="T34">IF(AND($D33="",T33&lt;&gt;""),"Genre?",IF(T33="","",IF(T33="x",0,IF(T33="DSQ",1,IF(T33="ABD",1,IF(T33="NP",0,IF($D33="F",IF(T33&gt;Min_F!P$2,Min_F!$A$2,IF(COUNTIF(Min_F!P:P,T33)=1,_xlfn.XLOOKUP(T33,Min_F!P:P,Min_F!$A:$A),INDEX(Min_F!$A:$A,MATCH(T33,Min_F!P:P,-1)+1))),IF(T33&gt;Min_G!P$2,Min_G!$A$2,IF(COUNTIF(Min_G!P:P,T33)=1,_xlfn.XLOOKUP(T33,Min_G!P:P,Min_G!$A:$A),INDEX(Min_G!$A:$A,MATCH(T33,Min_G!P:P,-1)+1)))))))))&amp;IF(T33="",""," pt(s)"))</f>
        <v/>
      </c>
      <c r="U34" s="60" t="str" cm="1">
        <f t="array" ref="U34">IF(AND($D33="",U33&lt;&gt;""),"Genre?",IF(U33="","",IF(U33="x",0,IF(U33="DSQ",1,IF(U33="ABD",1,IF(U33="NP",0,IF($D33="F",IF(U33&gt;Min_F!Q$2,Min_F!$A$2,IF(COUNTIF(Min_F!Q:Q,U33)=1,_xlfn.XLOOKUP(U33,Min_F!Q:Q,Min_F!$A:$A),INDEX(Min_F!$A:$A,MATCH(U33,Min_F!Q:Q,-1)+1))),IF(U33&gt;Min_G!Q$2,Min_G!$A$2,IF(COUNTIF(Min_G!Q:Q,U33)=1,_xlfn.XLOOKUP(U33,Min_G!Q:Q,Min_G!$A:$A),INDEX(Min_G!$A:$A,MATCH(U33,Min_G!Q:Q,-1)+1)))))))))&amp;IF(U33="",""," pt(s)"))</f>
        <v/>
      </c>
      <c r="V34" s="179"/>
      <c r="W34" s="194"/>
      <c r="X34" s="139"/>
      <c r="Y34" s="140"/>
      <c r="Z34" s="226"/>
    </row>
    <row r="35" spans="1:26" ht="30" customHeight="1" thickTop="1" x14ac:dyDescent="0.3">
      <c r="A35" s="117">
        <v>7</v>
      </c>
      <c r="B35" s="119"/>
      <c r="C35" s="119"/>
      <c r="D35" s="121"/>
      <c r="E35" s="123" t="str">
        <f t="shared" ref="E35" si="20">IF(D35="","",IF(D35="F","MF","MG"))</f>
        <v/>
      </c>
      <c r="F35" s="52"/>
      <c r="G35" s="70"/>
      <c r="H35" s="77"/>
      <c r="I35" s="73"/>
      <c r="J35" s="52"/>
      <c r="K35" s="78"/>
      <c r="L35" s="73"/>
      <c r="M35" s="49"/>
      <c r="N35" s="41"/>
      <c r="O35" s="41"/>
      <c r="P35" s="41"/>
      <c r="Q35" s="42"/>
      <c r="R35" s="43"/>
      <c r="S35" s="41"/>
      <c r="T35" s="41"/>
      <c r="U35" s="42"/>
      <c r="V35" s="176"/>
      <c r="W35" s="194" t="str">
        <f t="shared" ref="W35" si="21">IF(V35="","",IF(E35="","",E35))</f>
        <v/>
      </c>
      <c r="X35" s="135" t="str">
        <f t="shared" ref="X35" si="22">IF(AND(E35="",COUNTA(F35:V35)&gt;0),"manque catégorie",IF(E35="","",IF(COUNTA(F35:V35)=0,"NON",IF(COUNTA(F35:U35)&gt;3,"NON",IF(COUNTA(F35:M35)&gt;1,"NON",IF(COUNTA(N35:Q35)&gt;1,"NON",IF(COUNTA(R35:U35)&gt;1,"NON",IF(AND(COUNTA(V35)=1,COUNTA(F35:U35)=0),"NON","OUI"))))))))</f>
        <v/>
      </c>
      <c r="Y35" s="136"/>
      <c r="Z35" s="226" t="str">
        <f t="shared" ref="Z35" si="23">IF(X35="","",IF(X35="manque catégorie","NON",IF(X35="NON","NON","OUI")))</f>
        <v/>
      </c>
    </row>
    <row r="36" spans="1:26" ht="30" customHeight="1" thickBot="1" x14ac:dyDescent="0.35">
      <c r="A36" s="118"/>
      <c r="B36" s="120"/>
      <c r="C36" s="120"/>
      <c r="D36" s="122"/>
      <c r="E36" s="124"/>
      <c r="F36" s="58" t="str" cm="1">
        <f t="array" ref="F36">IF(AND($D35="",F35&lt;&gt;""),"Genre?",IF(F35="","",IF(F35="x",0,IF(F35="DSQ",1,IF(F35="ABD",1,IF(F35="NP",0,IF($D35="F",IF(F35&lt;Min_F!B$2,Min_F!$A$2,IF(COUNTIF(Min_F!B:B,F35)=1,_xlfn.XLOOKUP(F35,Min_F!B:B,Min_F!$A:$A),INDEX(Min_F!$A:$A,MATCH(F35,Min_F!B:B)+1))),IF(F35&lt;Min_G!B$2,Min_G!$A$2,IF(COUNTIF(Min_G!B:B,F35)=1,_xlfn.XLOOKUP(F35,Min_G!B:B,Min_G!$A:$A),INDEX(Min_G!$A:$A,MATCH(F35,Min_G!B:B)+1)))))))))&amp;IF(F35="",""," pt(s)"))</f>
        <v/>
      </c>
      <c r="G36" s="71" t="str" cm="1">
        <f t="array" ref="G36">IF(AND($D35="",G35&lt;&gt;""),"Genre?",IF(G35="","",IF(G35="x",0,IF(G35="DSQ",1,IF(G35="ABD",1,IF(G35="NP",0,IF($D35="F",IF(G35&lt;Min_F!C$2,Min_F!$A$2,IF(COUNTIF(Min_F!C:C,G35)=1,_xlfn.XLOOKUP(G35,Min_F!C:C,Min_F!$A:$A),INDEX(Min_F!$A:$A,MATCH(G35,Min_F!C:C)+1))),IF(G35&lt;Min_G!C$2,Min_G!$A$2,IF(COUNTIF(Min_G!C:C,G35)=1,_xlfn.XLOOKUP(G35,Min_G!C:C,Min_G!$A:$A),INDEX(Min_G!$A:$A,MATCH(G35,Min_G!C:C)+1)))))))))&amp;IF(G35="",""," pt(s)"))</f>
        <v/>
      </c>
      <c r="H36" s="79" t="str" cm="1">
        <f t="array" ref="H36">IF(AND($D35="",H35&lt;&gt;""),"Genre?",IF(H35="","",IF(D35="G","G = 0",IF(H35="x",0,IF(H35="DSQ",1,IF(H35="ABD",1,IF(H35="NP",0,IF($D35="F",IF(H35&lt;Min_F!F$2,Min_F!$A$2,IF(COUNTIF(Min_F!F:F,H35)=1,_xlfn.XLOOKUP(H35,Min_F!F:F,Min_F!$A:$A),INDEX(Min_F!$A:$A,MATCH(H35,Min_F!F:F)+1))),IF(H35&lt;Min_G!F$2,Min_G!$A$2,IF(COUNTIF(Min_G!F:F,H35)=1,_xlfn.XLOOKUP(H35,Min_G!F:F,Min_G!$A:$A),INDEX(Min_G!$A:$A,MATCH(H35,Min_G!F:F)+1))))))))))&amp;IF(H35="",""," pt(s)"))</f>
        <v/>
      </c>
      <c r="I36" s="62" t="str" cm="1">
        <f t="array" ref="I36">IF(AND($D35="",I35&lt;&gt;""),"Genre?",IF(I35="","",IF(I35="x",0,IF(I35="DSQ",1,IF(I35="ABD",1,IF(I35="NP",0,IF($D35="F",IF(I35&lt;Min_F!G$2,Min_F!$A$2,IF(COUNTIF(Min_F!G:G,I35)=1,_xlfn.XLOOKUP(I35,Min_F!G:G,Min_F!$A:$A),INDEX(Min_F!$A:$A,MATCH(I35,Min_F!G:G)+1))),IF(I35&lt;Min_G!G$2,Min_G!$A$2,IF(COUNTIF(Min_G!G:G,I35)=1,_xlfn.XLOOKUP(I35,Min_G!G:G,Min_G!$A:$A),INDEX(Min_G!$A:$A,MATCH(I35,Min_G!G:G)+1)))))))))&amp;IF(I35="",""," pt(s)"))</f>
        <v/>
      </c>
      <c r="J36" s="58" t="str" cm="1">
        <f t="array" ref="J36">IF(AND($D35="",J35&lt;&gt;""),"Genre?",IF(J35="","",IF(D35="F","F = 0",IF(J35="x",0,IF(J35="DSQ",1,IF(J35="ABD",1,IF(J35="NP",0,IF($D35="F",IF(J35&lt;Min_F!H$2,Min_F!$A$2,IF(COUNTIF(Min_F!H:H,J35)=1,_xlfn.XLOOKUP(J35,Min_F!H:H,Min_F!$A:$A),INDEX(Min_F!$A:$A,MATCH(J35,Min_F!H:H)+1))),IF(J35&lt;Min_G!H$2,Min_G!$A$2,IF(COUNTIF(Min_G!H:H,J35)=1,_xlfn.XLOOKUP(J35,Min_G!H:H,Min_G!$A:$A),INDEX(Min_G!$A:$A,MATCH(J35,Min_G!H:H)+1))))))))))&amp;IF(J35="",""," pt(s)"))</f>
        <v/>
      </c>
      <c r="K36" s="80" t="str" cm="1">
        <f t="array" ref="K36">IF(AND($D35="",K35&lt;&gt;""),"Genre?",IF(K35="","",IF(K35="x",0,IF(K35="DSQ",1,IF(K35="ABD",1,IF(K35="NP",0,IF($D35="F",IF(K35&lt;Min_F!I$2,Min_F!$A$2,IF(COUNTIF(Min_F!I:I,K35)=1,_xlfn.XLOOKUP(K35,Min_F!I:I,Min_F!$A:$A),INDEX(Min_F!$A:$A,MATCH(K35,Min_F!I:I)+1))),IF(K35&lt;Min_G!I$2,Min_G!$A$2,IF(COUNTIF(Min_G!I:I,K35)=1,_xlfn.XLOOKUP(K35,Min_G!I:I,Min_G!$A:$A),INDEX(Min_G!$A:$A,MATCH(K35,Min_G!I:I)+1)))))))))&amp;IF(K35="",""," pt(s)"))</f>
        <v/>
      </c>
      <c r="L36" s="61" t="str" cm="1">
        <f t="array" ref="L36">IF(AND($D35="",L35&lt;&gt;""),"Genre?",IF(L35="","",IF(L35="x",0,IF(L35="DSQ",1,IF(L35="ABD",1,IF(L35="NP",0,IF($D35="F",IF(L35&lt;Min_F!D$2,Min_F!$A$2,IF(COUNTIF(Min_F!D:D,L35)=1,_xlfn.XLOOKUP(L35,Min_F!D:D,Min_F!$A:$A),INDEX(Min_F!$A:$A,MATCH(L35,Min_F!D:D)+1))),IF(L35&lt;Min_G!D$2,Min_G!$A$2,IF(COUNTIF(Min_G!D:D,L35)=1,_xlfn.XLOOKUP(L35,Min_G!D:D,Min_G!$A:$A),INDEX(Min_G!$A:$A,MATCH(L35,Min_G!D:D)+1)))))))))&amp;IF(L35="",""," pt(s)"))</f>
        <v/>
      </c>
      <c r="M36" s="59" t="str" cm="1">
        <f t="array" ref="M36">IF(AND($D35="",M35&lt;&gt;""),"Genre?",IF(M35="","",IF(M35="x",0,IF(M35="DSQ",1,IF(M35="ABD",1,IF(M35="NP",0,IF($D35="F",IF(M35&lt;Min_F!E$2,Min_F!$A$2,IF(COUNTIF(Min_F!E:E,M35)=1,_xlfn.XLOOKUP(M35,Min_F!E:E,Min_F!$A:$A),INDEX(Min_F!$A:$A,MATCH(M35,Min_F!E:E)+1))),IF(M35&lt;Min_G!E$2,Min_G!$A$2,IF(COUNTIF(Min_G!E:E,M35)=1,_xlfn.XLOOKUP(M35,Min_G!E:E,Min_G!$A:$A),INDEX(Min_G!$A:$A,MATCH(M35,Min_G!E:E)+1)))))))))&amp;IF(M35="",""," pt(s)"))</f>
        <v/>
      </c>
      <c r="N36" s="58" t="str" cm="1">
        <f t="array" ref="N36">IF(AND($D35="",N35&lt;&gt;""),"Genre?",IF(N35="","",IF(N35="x",0,IF(N35="DSQ",1,IF(N35="ABD",1,IF(N35="NP",0,IF($D35="F",IF(N35&gt;Min_F!J$2,Min_F!$A$2,IF(COUNTIF(Min_F!J:J,N35)=1,_xlfn.XLOOKUP(N35,Min_F!J:J,Min_F!$A:$A),INDEX(Min_F!$A:$A,MATCH(N35,Min_F!J:J,-1)+1))),IF(N35&gt;Min_G!J$2,Min_G!$A$2,IF(COUNTIF(Min_G!J:J,N35)=1,_xlfn.XLOOKUP(N35,Min_G!J:J,Min_G!$A:$A),INDEX(Min_G!$A:$A,MATCH(N35,Min_G!J:J,-1)+1)))))))))&amp;IF(N35="",""," pt(s)"))</f>
        <v/>
      </c>
      <c r="O36" s="58" t="str" cm="1">
        <f t="array" ref="O36">IF(AND($D35="",O35&lt;&gt;""),"Genre?",IF(O35="","",IF(O35="x",0,IF(O35="DSQ",1,IF(O35="ABD",1,IF(O35="NP",0,IF($D35="F",IF(O35&gt;Min_F!K$2,Min_F!$A$2,IF(COUNTIF(Min_F!K:K,O35)=1,_xlfn.XLOOKUP(O35,Min_F!K:K,Min_F!$A:$A),INDEX(Min_F!$A:$A,MATCH(O35,Min_F!K:K,-1)+1))),IF(O35&gt;Min_G!K$2,Min_G!$A$2,IF(COUNTIF(Min_G!K:K,O35)=1,_xlfn.XLOOKUP(O35,Min_G!K:K,Min_G!$A:$A),INDEX(Min_G!$A:$A,MATCH(O35,Min_G!K:K,-1)+1)))))))))&amp;IF(O35="",""," pt(s)"))</f>
        <v/>
      </c>
      <c r="P36" s="58" t="str" cm="1">
        <f t="array" ref="P36">IF(AND($D35="",P35&lt;&gt;""),"Genre?",IF(P35="","",IF(P35="x",0,IF(P35="DSQ",1,IF(P35="ABD",1,IF(P35="NP",0,IF($D35="F",IF(P35&gt;Min_F!L$2,Min_F!$A$2,IF(COUNTIF(Min_F!L:L,P35)=1,_xlfn.XLOOKUP(P35,Min_F!L:L,Min_F!$A:$A),INDEX(Min_F!$A:$A,MATCH(P35,Min_F!L:L,-1)+1))),IF(P35&gt;Min_G!L$2,Min_G!$A$2,IF(COUNTIF(Min_G!L:L,P35)=1,_xlfn.XLOOKUP(P35,Min_G!L:L,Min_G!$A:$A),INDEX(Min_G!$A:$A,MATCH(P35,Min_G!L:L,-1)+1)))))))))&amp;IF(P35="",""," pt(s)"))</f>
        <v/>
      </c>
      <c r="Q36" s="60" t="str" cm="1">
        <f t="array" ref="Q36">IF(AND($D35="",Q35&lt;&gt;""),"Genre?",IF(Q35="","",IF(Q35="x",0,IF(Q35="DSQ",1,IF(Q35="ABD",1,IF(Q35="NP",0,IF($D35="F",IF(Q35&gt;Min_F!M$2,Min_F!$A$2,IF(COUNTIF(Min_F!M:M,Q35)=1,_xlfn.XLOOKUP(Q35,Min_F!M:M,Min_F!$A:$A),INDEX(Min_F!$A:$A,MATCH(Q35,Min_F!M:M,-1)+1))),IF(Q35&gt;Min_G!M$2,Min_G!$A$2,IF(COUNTIF(Min_G!M:M,Q35)=1,_xlfn.XLOOKUP(Q35,Min_G!M:M,Min_G!$A:$A),INDEX(Min_G!$A:$A,MATCH(Q35,Min_G!M:M,-1)+1)))))))))&amp;IF(Q35="",""," pt(s)"))</f>
        <v/>
      </c>
      <c r="R36" s="61" t="str" cm="1">
        <f t="array" ref="R36">IF(AND($D35="",R35&lt;&gt;""),"Genre?",IF(R35="","",IF(R35="x",0,IF(R35="DSQ",1,IF(R35="ABD",1,IF(R35="NP",0,IF($D35="F",IF(R35&gt;Min_F!N$2,Min_F!$A$2,IF(COUNTIF(Min_F!N:N,R35)=1,_xlfn.XLOOKUP(R35,Min_F!N:N,Min_F!$A:$A),INDEX(Min_F!$A:$A,MATCH(R35,Min_F!N:N,-1)+1))),IF(R35&gt;Min_G!N$2,Min_G!$A$2,IF(COUNTIF(Min_G!N:N,R35)=1,_xlfn.XLOOKUP(R35,Min_G!N:N,Min_G!$A:$A),INDEX(Min_G!$A:$A,MATCH(R35,Min_G!N:N,-1)+1)))))))))&amp;IF(R35="",""," pt(s)"))</f>
        <v/>
      </c>
      <c r="S36" s="58" t="str" cm="1">
        <f t="array" ref="S36">IF(AND($D35="",S35&lt;&gt;""),"Genre?",IF(S35="","",IF(S35="x",0,IF(S35="DSQ",1,IF(S35="ABD",1,IF(S35="NP",0,IF($D35="F",IF(S35&gt;Min_F!O$2,Min_F!$A$2,IF(COUNTIF(Min_F!O:O,S35)=1,_xlfn.XLOOKUP(S35,Min_F!O:O,Min_F!$A:$A),INDEX(Min_F!$A:$A,MATCH(S35,Min_F!O:O,-1)+1))),IF(S35&gt;Min_G!O$2,Min_G!$A$2,IF(COUNTIF(Min_G!O:O,S35)=1,_xlfn.XLOOKUP(S35,Min_G!O:O,Min_G!$A:$A),INDEX(Min_G!$A:$A,MATCH(S35,Min_G!O:O,-1)+1)))))))))&amp;IF(S35="",""," pt(s)"))</f>
        <v/>
      </c>
      <c r="T36" s="58" t="str" cm="1">
        <f t="array" ref="T36">IF(AND($D35="",T35&lt;&gt;""),"Genre?",IF(T35="","",IF(T35="x",0,IF(T35="DSQ",1,IF(T35="ABD",1,IF(T35="NP",0,IF($D35="F",IF(T35&gt;Min_F!P$2,Min_F!$A$2,IF(COUNTIF(Min_F!P:P,T35)=1,_xlfn.XLOOKUP(T35,Min_F!P:P,Min_F!$A:$A),INDEX(Min_F!$A:$A,MATCH(T35,Min_F!P:P,-1)+1))),IF(T35&gt;Min_G!P$2,Min_G!$A$2,IF(COUNTIF(Min_G!P:P,T35)=1,_xlfn.XLOOKUP(T35,Min_G!P:P,Min_G!$A:$A),INDEX(Min_G!$A:$A,MATCH(T35,Min_G!P:P,-1)+1)))))))))&amp;IF(T35="",""," pt(s)"))</f>
        <v/>
      </c>
      <c r="U36" s="60" t="str" cm="1">
        <f t="array" ref="U36">IF(AND($D35="",U35&lt;&gt;""),"Genre?",IF(U35="","",IF(U35="x",0,IF(U35="DSQ",1,IF(U35="ABD",1,IF(U35="NP",0,IF($D35="F",IF(U35&gt;Min_F!Q$2,Min_F!$A$2,IF(COUNTIF(Min_F!Q:Q,U35)=1,_xlfn.XLOOKUP(U35,Min_F!Q:Q,Min_F!$A:$A),INDEX(Min_F!$A:$A,MATCH(U35,Min_F!Q:Q,-1)+1))),IF(U35&gt;Min_G!Q$2,Min_G!$A$2,IF(COUNTIF(Min_G!Q:Q,U35)=1,_xlfn.XLOOKUP(U35,Min_G!Q:Q,Min_G!$A:$A),INDEX(Min_G!$A:$A,MATCH(U35,Min_G!Q:Q,-1)+1)))))))))&amp;IF(U35="",""," pt(s)"))</f>
        <v/>
      </c>
      <c r="V36" s="177"/>
      <c r="W36" s="194"/>
      <c r="X36" s="139"/>
      <c r="Y36" s="140"/>
      <c r="Z36" s="226"/>
    </row>
    <row r="37" spans="1:26" ht="30" customHeight="1" thickTop="1" x14ac:dyDescent="0.3">
      <c r="A37" s="157">
        <v>8</v>
      </c>
      <c r="B37" s="159"/>
      <c r="C37" s="159"/>
      <c r="D37" s="129"/>
      <c r="E37" s="123" t="str">
        <f t="shared" ref="E37" si="24">IF(D37="","",IF(D37="F","MF","MG"))</f>
        <v/>
      </c>
      <c r="F37" s="101"/>
      <c r="G37" s="102"/>
      <c r="H37" s="103"/>
      <c r="I37" s="104"/>
      <c r="J37" s="101"/>
      <c r="K37" s="105"/>
      <c r="L37" s="104"/>
      <c r="M37" s="106"/>
      <c r="N37" s="107"/>
      <c r="O37" s="107"/>
      <c r="P37" s="107"/>
      <c r="Q37" s="108"/>
      <c r="R37" s="109"/>
      <c r="S37" s="107"/>
      <c r="T37" s="107"/>
      <c r="U37" s="108"/>
      <c r="V37" s="178"/>
      <c r="W37" s="194" t="str">
        <f t="shared" ref="W37" si="25">IF(V37="","",IF(E37="","",E37))</f>
        <v/>
      </c>
      <c r="X37" s="135" t="str">
        <f t="shared" ref="X37" si="26">IF(AND(E37="",COUNTA(F37:V37)&gt;0),"manque catégorie",IF(E37="","",IF(COUNTA(F37:V37)=0,"NON",IF(COUNTA(F37:U37)&gt;3,"NON",IF(COUNTA(F37:M37)&gt;1,"NON",IF(COUNTA(N37:Q37)&gt;1,"NON",IF(COUNTA(R37:U37)&gt;1,"NON",IF(AND(COUNTA(V37)=1,COUNTA(F37:U37)=0),"NON","OUI"))))))))</f>
        <v/>
      </c>
      <c r="Y37" s="136"/>
      <c r="Z37" s="226" t="str">
        <f t="shared" ref="Z37" si="27">IF(X37="","",IF(X37="manque catégorie","NON",IF(X37="NON","NON","OUI")))</f>
        <v/>
      </c>
    </row>
    <row r="38" spans="1:26" ht="30" customHeight="1" thickBot="1" x14ac:dyDescent="0.35">
      <c r="A38" s="158"/>
      <c r="B38" s="160"/>
      <c r="C38" s="160"/>
      <c r="D38" s="130"/>
      <c r="E38" s="124"/>
      <c r="F38" s="58" t="str" cm="1">
        <f t="array" ref="F38">IF(AND($D37="",F37&lt;&gt;""),"Genre?",IF(F37="","",IF(F37="x",0,IF(F37="DSQ",1,IF(F37="ABD",1,IF(F37="NP",0,IF($D37="F",IF(F37&lt;Min_F!B$2,Min_F!$A$2,IF(COUNTIF(Min_F!B:B,F37)=1,_xlfn.XLOOKUP(F37,Min_F!B:B,Min_F!$A:$A),INDEX(Min_F!$A:$A,MATCH(F37,Min_F!B:B)+1))),IF(F37&lt;Min_G!B$2,Min_G!$A$2,IF(COUNTIF(Min_G!B:B,F37)=1,_xlfn.XLOOKUP(F37,Min_G!B:B,Min_G!$A:$A),INDEX(Min_G!$A:$A,MATCH(F37,Min_G!B:B)+1)))))))))&amp;IF(F37="",""," pt(s)"))</f>
        <v/>
      </c>
      <c r="G38" s="71" t="str" cm="1">
        <f t="array" ref="G38">IF(AND($D37="",G37&lt;&gt;""),"Genre?",IF(G37="","",IF(G37="x",0,IF(G37="DSQ",1,IF(G37="ABD",1,IF(G37="NP",0,IF($D37="F",IF(G37&lt;Min_F!C$2,Min_F!$A$2,IF(COUNTIF(Min_F!C:C,G37)=1,_xlfn.XLOOKUP(G37,Min_F!C:C,Min_F!$A:$A),INDEX(Min_F!$A:$A,MATCH(G37,Min_F!C:C)+1))),IF(G37&lt;Min_G!C$2,Min_G!$A$2,IF(COUNTIF(Min_G!C:C,G37)=1,_xlfn.XLOOKUP(G37,Min_G!C:C,Min_G!$A:$A),INDEX(Min_G!$A:$A,MATCH(G37,Min_G!C:C)+1)))))))))&amp;IF(G37="",""," pt(s)"))</f>
        <v/>
      </c>
      <c r="H38" s="79" t="str" cm="1">
        <f t="array" ref="H38">IF(AND($D37="",H37&lt;&gt;""),"Genre?",IF(H37="","",IF(D37="G","G = 0",IF(H37="x",0,IF(H37="DSQ",1,IF(H37="ABD",1,IF(H37="NP",0,IF($D37="F",IF(H37&lt;Min_F!F$2,Min_F!$A$2,IF(COUNTIF(Min_F!F:F,H37)=1,_xlfn.XLOOKUP(H37,Min_F!F:F,Min_F!$A:$A),INDEX(Min_F!$A:$A,MATCH(H37,Min_F!F:F)+1))),IF(H37&lt;Min_G!F$2,Min_G!$A$2,IF(COUNTIF(Min_G!F:F,H37)=1,_xlfn.XLOOKUP(H37,Min_G!F:F,Min_G!$A:$A),INDEX(Min_G!$A:$A,MATCH(H37,Min_G!F:F)+1))))))))))&amp;IF(H37="",""," pt(s)"))</f>
        <v/>
      </c>
      <c r="I38" s="62" t="str" cm="1">
        <f t="array" ref="I38">IF(AND($D37="",I37&lt;&gt;""),"Genre?",IF(I37="","",IF(I37="x",0,IF(I37="DSQ",1,IF(I37="ABD",1,IF(I37="NP",0,IF($D37="F",IF(I37&lt;Min_F!G$2,Min_F!$A$2,IF(COUNTIF(Min_F!G:G,I37)=1,_xlfn.XLOOKUP(I37,Min_F!G:G,Min_F!$A:$A),INDEX(Min_F!$A:$A,MATCH(I37,Min_F!G:G)+1))),IF(I37&lt;Min_G!G$2,Min_G!$A$2,IF(COUNTIF(Min_G!G:G,I37)=1,_xlfn.XLOOKUP(I37,Min_G!G:G,Min_G!$A:$A),INDEX(Min_G!$A:$A,MATCH(I37,Min_G!G:G)+1)))))))))&amp;IF(I37="",""," pt(s)"))</f>
        <v/>
      </c>
      <c r="J38" s="58" t="str" cm="1">
        <f t="array" ref="J38">IF(AND($D37="",J37&lt;&gt;""),"Genre?",IF(J37="","",IF(D37="F","F = 0",IF(J37="x",0,IF(J37="DSQ",1,IF(J37="ABD",1,IF(J37="NP",0,IF($D37="F",IF(J37&lt;Min_F!H$2,Min_F!$A$2,IF(COUNTIF(Min_F!H:H,J37)=1,_xlfn.XLOOKUP(J37,Min_F!H:H,Min_F!$A:$A),INDEX(Min_F!$A:$A,MATCH(J37,Min_F!H:H)+1))),IF(J37&lt;Min_G!H$2,Min_G!$A$2,IF(COUNTIF(Min_G!H:H,J37)=1,_xlfn.XLOOKUP(J37,Min_G!H:H,Min_G!$A:$A),INDEX(Min_G!$A:$A,MATCH(J37,Min_G!H:H)+1))))))))))&amp;IF(J37="",""," pt(s)"))</f>
        <v/>
      </c>
      <c r="K38" s="80" t="str" cm="1">
        <f t="array" ref="K38">IF(AND($D37="",K37&lt;&gt;""),"Genre?",IF(K37="","",IF(K37="x",0,IF(K37="DSQ",1,IF(K37="ABD",1,IF(K37="NP",0,IF($D37="F",IF(K37&lt;Min_F!I$2,Min_F!$A$2,IF(COUNTIF(Min_F!I:I,K37)=1,_xlfn.XLOOKUP(K37,Min_F!I:I,Min_F!$A:$A),INDEX(Min_F!$A:$A,MATCH(K37,Min_F!I:I)+1))),IF(K37&lt;Min_G!I$2,Min_G!$A$2,IF(COUNTIF(Min_G!I:I,K37)=1,_xlfn.XLOOKUP(K37,Min_G!I:I,Min_G!$A:$A),INDEX(Min_G!$A:$A,MATCH(K37,Min_G!I:I)+1)))))))))&amp;IF(K37="",""," pt(s)"))</f>
        <v/>
      </c>
      <c r="L38" s="61" t="str" cm="1">
        <f t="array" ref="L38">IF(AND($D37="",L37&lt;&gt;""),"Genre?",IF(L37="","",IF(L37="x",0,IF(L37="DSQ",1,IF(L37="ABD",1,IF(L37="NP",0,IF($D37="F",IF(L37&lt;Min_F!D$2,Min_F!$A$2,IF(COUNTIF(Min_F!D:D,L37)=1,_xlfn.XLOOKUP(L37,Min_F!D:D,Min_F!$A:$A),INDEX(Min_F!$A:$A,MATCH(L37,Min_F!D:D)+1))),IF(L37&lt;Min_G!D$2,Min_G!$A$2,IF(COUNTIF(Min_G!D:D,L37)=1,_xlfn.XLOOKUP(L37,Min_G!D:D,Min_G!$A:$A),INDEX(Min_G!$A:$A,MATCH(L37,Min_G!D:D)+1)))))))))&amp;IF(L37="",""," pt(s)"))</f>
        <v/>
      </c>
      <c r="M38" s="59" t="str" cm="1">
        <f t="array" ref="M38">IF(AND($D37="",M37&lt;&gt;""),"Genre?",IF(M37="","",IF(M37="x",0,IF(M37="DSQ",1,IF(M37="ABD",1,IF(M37="NP",0,IF($D37="F",IF(M37&lt;Min_F!E$2,Min_F!$A$2,IF(COUNTIF(Min_F!E:E,M37)=1,_xlfn.XLOOKUP(M37,Min_F!E:E,Min_F!$A:$A),INDEX(Min_F!$A:$A,MATCH(M37,Min_F!E:E)+1))),IF(M37&lt;Min_G!E$2,Min_G!$A$2,IF(COUNTIF(Min_G!E:E,M37)=1,_xlfn.XLOOKUP(M37,Min_G!E:E,Min_G!$A:$A),INDEX(Min_G!$A:$A,MATCH(M37,Min_G!E:E)+1)))))))))&amp;IF(M37="",""," pt(s)"))</f>
        <v/>
      </c>
      <c r="N38" s="58" t="str" cm="1">
        <f t="array" ref="N38">IF(AND($D37="",N37&lt;&gt;""),"Genre?",IF(N37="","",IF(N37="x",0,IF(N37="DSQ",1,IF(N37="ABD",1,IF(N37="NP",0,IF($D37="F",IF(N37&gt;Min_F!J$2,Min_F!$A$2,IF(COUNTIF(Min_F!J:J,N37)=1,_xlfn.XLOOKUP(N37,Min_F!J:J,Min_F!$A:$A),INDEX(Min_F!$A:$A,MATCH(N37,Min_F!J:J,-1)+1))),IF(N37&gt;Min_G!J$2,Min_G!$A$2,IF(COUNTIF(Min_G!J:J,N37)=1,_xlfn.XLOOKUP(N37,Min_G!J:J,Min_G!$A:$A),INDEX(Min_G!$A:$A,MATCH(N37,Min_G!J:J,-1)+1)))))))))&amp;IF(N37="",""," pt(s)"))</f>
        <v/>
      </c>
      <c r="O38" s="58" t="str" cm="1">
        <f t="array" ref="O38">IF(AND($D37="",O37&lt;&gt;""),"Genre?",IF(O37="","",IF(O37="x",0,IF(O37="DSQ",1,IF(O37="ABD",1,IF(O37="NP",0,IF($D37="F",IF(O37&gt;Min_F!K$2,Min_F!$A$2,IF(COUNTIF(Min_F!K:K,O37)=1,_xlfn.XLOOKUP(O37,Min_F!K:K,Min_F!$A:$A),INDEX(Min_F!$A:$A,MATCH(O37,Min_F!K:K,-1)+1))),IF(O37&gt;Min_G!K$2,Min_G!$A$2,IF(COUNTIF(Min_G!K:K,O37)=1,_xlfn.XLOOKUP(O37,Min_G!K:K,Min_G!$A:$A),INDEX(Min_G!$A:$A,MATCH(O37,Min_G!K:K,-1)+1)))))))))&amp;IF(O37="",""," pt(s)"))</f>
        <v/>
      </c>
      <c r="P38" s="58" t="str" cm="1">
        <f t="array" ref="P38">IF(AND($D37="",P37&lt;&gt;""),"Genre?",IF(P37="","",IF(P37="x",0,IF(P37="DSQ",1,IF(P37="ABD",1,IF(P37="NP",0,IF($D37="F",IF(P37&gt;Min_F!L$2,Min_F!$A$2,IF(COUNTIF(Min_F!L:L,P37)=1,_xlfn.XLOOKUP(P37,Min_F!L:L,Min_F!$A:$A),INDEX(Min_F!$A:$A,MATCH(P37,Min_F!L:L,-1)+1))),IF(P37&gt;Min_G!L$2,Min_G!$A$2,IF(COUNTIF(Min_G!L:L,P37)=1,_xlfn.XLOOKUP(P37,Min_G!L:L,Min_G!$A:$A),INDEX(Min_G!$A:$A,MATCH(P37,Min_G!L:L,-1)+1)))))))))&amp;IF(P37="",""," pt(s)"))</f>
        <v/>
      </c>
      <c r="Q38" s="60" t="str" cm="1">
        <f t="array" ref="Q38">IF(AND($D37="",Q37&lt;&gt;""),"Genre?",IF(Q37="","",IF(Q37="x",0,IF(Q37="DSQ",1,IF(Q37="ABD",1,IF(Q37="NP",0,IF($D37="F",IF(Q37&gt;Min_F!M$2,Min_F!$A$2,IF(COUNTIF(Min_F!M:M,Q37)=1,_xlfn.XLOOKUP(Q37,Min_F!M:M,Min_F!$A:$A),INDEX(Min_F!$A:$A,MATCH(Q37,Min_F!M:M,-1)+1))),IF(Q37&gt;Min_G!M$2,Min_G!$A$2,IF(COUNTIF(Min_G!M:M,Q37)=1,_xlfn.XLOOKUP(Q37,Min_G!M:M,Min_G!$A:$A),INDEX(Min_G!$A:$A,MATCH(Q37,Min_G!M:M,-1)+1)))))))))&amp;IF(Q37="",""," pt(s)"))</f>
        <v/>
      </c>
      <c r="R38" s="61" t="str" cm="1">
        <f t="array" ref="R38">IF(AND($D37="",R37&lt;&gt;""),"Genre?",IF(R37="","",IF(R37="x",0,IF(R37="DSQ",1,IF(R37="ABD",1,IF(R37="NP",0,IF($D37="F",IF(R37&gt;Min_F!N$2,Min_F!$A$2,IF(COUNTIF(Min_F!N:N,R37)=1,_xlfn.XLOOKUP(R37,Min_F!N:N,Min_F!$A:$A),INDEX(Min_F!$A:$A,MATCH(R37,Min_F!N:N,-1)+1))),IF(R37&gt;Min_G!N$2,Min_G!$A$2,IF(COUNTIF(Min_G!N:N,R37)=1,_xlfn.XLOOKUP(R37,Min_G!N:N,Min_G!$A:$A),INDEX(Min_G!$A:$A,MATCH(R37,Min_G!N:N,-1)+1)))))))))&amp;IF(R37="",""," pt(s)"))</f>
        <v/>
      </c>
      <c r="S38" s="58" t="str" cm="1">
        <f t="array" ref="S38">IF(AND($D37="",S37&lt;&gt;""),"Genre?",IF(S37="","",IF(S37="x",0,IF(S37="DSQ",1,IF(S37="ABD",1,IF(S37="NP",0,IF($D37="F",IF(S37&gt;Min_F!O$2,Min_F!$A$2,IF(COUNTIF(Min_F!O:O,S37)=1,_xlfn.XLOOKUP(S37,Min_F!O:O,Min_F!$A:$A),INDEX(Min_F!$A:$A,MATCH(S37,Min_F!O:O,-1)+1))),IF(S37&gt;Min_G!O$2,Min_G!$A$2,IF(COUNTIF(Min_G!O:O,S37)=1,_xlfn.XLOOKUP(S37,Min_G!O:O,Min_G!$A:$A),INDEX(Min_G!$A:$A,MATCH(S37,Min_G!O:O,-1)+1)))))))))&amp;IF(S37="",""," pt(s)"))</f>
        <v/>
      </c>
      <c r="T38" s="58" t="str" cm="1">
        <f t="array" ref="T38">IF(AND($D37="",T37&lt;&gt;""),"Genre?",IF(T37="","",IF(T37="x",0,IF(T37="DSQ",1,IF(T37="ABD",1,IF(T37="NP",0,IF($D37="F",IF(T37&gt;Min_F!P$2,Min_F!$A$2,IF(COUNTIF(Min_F!P:P,T37)=1,_xlfn.XLOOKUP(T37,Min_F!P:P,Min_F!$A:$A),INDEX(Min_F!$A:$A,MATCH(T37,Min_F!P:P,-1)+1))),IF(T37&gt;Min_G!P$2,Min_G!$A$2,IF(COUNTIF(Min_G!P:P,T37)=1,_xlfn.XLOOKUP(T37,Min_G!P:P,Min_G!$A:$A),INDEX(Min_G!$A:$A,MATCH(T37,Min_G!P:P,-1)+1)))))))))&amp;IF(T37="",""," pt(s)"))</f>
        <v/>
      </c>
      <c r="U38" s="60" t="str" cm="1">
        <f t="array" ref="U38">IF(AND($D37="",U37&lt;&gt;""),"Genre?",IF(U37="","",IF(U37="x",0,IF(U37="DSQ",1,IF(U37="ABD",1,IF(U37="NP",0,IF($D37="F",IF(U37&gt;Min_F!Q$2,Min_F!$A$2,IF(COUNTIF(Min_F!Q:Q,U37)=1,_xlfn.XLOOKUP(U37,Min_F!Q:Q,Min_F!$A:$A),INDEX(Min_F!$A:$A,MATCH(U37,Min_F!Q:Q,-1)+1))),IF(U37&gt;Min_G!Q$2,Min_G!$A$2,IF(COUNTIF(Min_G!Q:Q,U37)=1,_xlfn.XLOOKUP(U37,Min_G!Q:Q,Min_G!$A:$A),INDEX(Min_G!$A:$A,MATCH(U37,Min_G!Q:Q,-1)+1)))))))))&amp;IF(U37="",""," pt(s)"))</f>
        <v/>
      </c>
      <c r="V38" s="179"/>
      <c r="W38" s="194"/>
      <c r="X38" s="139"/>
      <c r="Y38" s="140"/>
      <c r="Z38" s="226"/>
    </row>
    <row r="39" spans="1:26" ht="30" customHeight="1" thickTop="1" x14ac:dyDescent="0.3">
      <c r="A39" s="117">
        <v>9</v>
      </c>
      <c r="B39" s="119"/>
      <c r="C39" s="119"/>
      <c r="D39" s="121"/>
      <c r="E39" s="123" t="str">
        <f t="shared" ref="E39" si="28">IF(D39="","",IF(D39="F","MF","MG"))</f>
        <v/>
      </c>
      <c r="F39" s="52"/>
      <c r="G39" s="70"/>
      <c r="H39" s="77"/>
      <c r="I39" s="73"/>
      <c r="J39" s="52"/>
      <c r="K39" s="78"/>
      <c r="L39" s="73"/>
      <c r="M39" s="49"/>
      <c r="N39" s="41"/>
      <c r="O39" s="41"/>
      <c r="P39" s="41"/>
      <c r="Q39" s="42"/>
      <c r="R39" s="43"/>
      <c r="S39" s="41"/>
      <c r="T39" s="41"/>
      <c r="U39" s="42"/>
      <c r="V39" s="176"/>
      <c r="W39" s="194" t="str">
        <f t="shared" ref="W39" si="29">IF(V39="","",IF(E39="","",E39))</f>
        <v/>
      </c>
      <c r="X39" s="135" t="str">
        <f t="shared" ref="X39" si="30">IF(AND(E39="",COUNTA(F39:V39)&gt;0),"manque catégorie",IF(E39="","",IF(COUNTA(F39:V39)=0,"NON",IF(COUNTA(F39:U39)&gt;3,"NON",IF(COUNTA(F39:M39)&gt;1,"NON",IF(COUNTA(N39:Q39)&gt;1,"NON",IF(COUNTA(R39:U39)&gt;1,"NON",IF(AND(COUNTA(V39)=1,COUNTA(F39:U39)=0),"NON","OUI"))))))))</f>
        <v/>
      </c>
      <c r="Y39" s="136"/>
      <c r="Z39" s="226" t="str">
        <f t="shared" ref="Z39" si="31">IF(X39="","",IF(X39="manque catégorie","NON",IF(X39="NON","NON","OUI")))</f>
        <v/>
      </c>
    </row>
    <row r="40" spans="1:26" ht="30" customHeight="1" thickBot="1" x14ac:dyDescent="0.35">
      <c r="A40" s="118"/>
      <c r="B40" s="120"/>
      <c r="C40" s="120"/>
      <c r="D40" s="164"/>
      <c r="E40" s="170"/>
      <c r="F40" s="62" t="str" cm="1">
        <f t="array" ref="F40">IF(AND($D39="",F39&lt;&gt;""),"Genre?",IF(F39="","",IF(F39="x",0,IF(F39="DSQ",1,IF(F39="ABD",1,IF(F39="NP",0,IF($D39="F",IF(F39&lt;Min_F!B$2,Min_F!$A$2,IF(COUNTIF(Min_F!B:B,F39)=1,_xlfn.XLOOKUP(F39,Min_F!B:B,Min_F!$A:$A),INDEX(Min_F!$A:$A,MATCH(F39,Min_F!B:B)+1))),IF(F39&lt;Min_G!B$2,Min_G!$A$2,IF(COUNTIF(Min_G!B:B,F39)=1,_xlfn.XLOOKUP(F39,Min_G!B:B,Min_G!$A:$A),INDEX(Min_G!$A:$A,MATCH(F39,Min_G!B:B)+1)))))))))&amp;IF(F39="",""," pt(s)"))</f>
        <v/>
      </c>
      <c r="G40" s="97" t="str" cm="1">
        <f t="array" ref="G40">IF(AND($D39="",G39&lt;&gt;""),"Genre?",IF(G39="","",IF(G39="x",0,IF(G39="DSQ",1,IF(G39="ABD",1,IF(G39="NP",0,IF($D39="F",IF(G39&lt;Min_F!C$2,Min_F!$A$2,IF(COUNTIF(Min_F!C:C,G39)=1,_xlfn.XLOOKUP(G39,Min_F!C:C,Min_F!$A:$A),INDEX(Min_F!$A:$A,MATCH(G39,Min_F!C:C)+1))),IF(G39&lt;Min_G!C$2,Min_G!$A$2,IF(COUNTIF(Min_G!C:C,G39)=1,_xlfn.XLOOKUP(G39,Min_G!C:C,Min_G!$A:$A),INDEX(Min_G!$A:$A,MATCH(G39,Min_G!C:C)+1)))))))))&amp;IF(G39="",""," pt(s)"))</f>
        <v/>
      </c>
      <c r="H40" s="83" t="str" cm="1">
        <f t="array" ref="H40">IF(AND($D39="",H39&lt;&gt;""),"Genre?",IF(H39="","",IF(D39="G","G = 0",IF(H39="x",0,IF(H39="DSQ",1,IF(H39="ABD",1,IF(H39="NP",0,IF($D39="F",IF(H39&lt;Min_F!F$2,Min_F!$A$2,IF(COUNTIF(Min_F!F:F,H39)=1,_xlfn.XLOOKUP(H39,Min_F!F:F,Min_F!$A:$A),INDEX(Min_F!$A:$A,MATCH(H39,Min_F!F:F)+1))),IF(H39&lt;Min_G!F$2,Min_G!$A$2,IF(COUNTIF(Min_G!F:F,H39)=1,_xlfn.XLOOKUP(H39,Min_G!F:F,Min_G!$A:$A),INDEX(Min_G!$A:$A,MATCH(H39,Min_G!F:F)+1))))))))))&amp;IF(H39="",""," pt(s)"))</f>
        <v/>
      </c>
      <c r="I40" s="62" t="str" cm="1">
        <f t="array" ref="I40">IF(AND($D39="",I39&lt;&gt;""),"Genre?",IF(I39="","",IF(I39="x",0,IF(I39="DSQ",1,IF(I39="ABD",1,IF(I39="NP",0,IF($D39="F",IF(I39&lt;Min_F!G$2,Min_F!$A$2,IF(COUNTIF(Min_F!G:G,I39)=1,_xlfn.XLOOKUP(I39,Min_F!G:G,Min_F!$A:$A),INDEX(Min_F!$A:$A,MATCH(I39,Min_F!G:G)+1))),IF(I39&lt;Min_G!G$2,Min_G!$A$2,IF(COUNTIF(Min_G!G:G,I39)=1,_xlfn.XLOOKUP(I39,Min_G!G:G,Min_G!$A:$A),INDEX(Min_G!$A:$A,MATCH(I39,Min_G!G:G)+1)))))))))&amp;IF(I39="",""," pt(s)"))</f>
        <v/>
      </c>
      <c r="J40" s="62" t="str" cm="1">
        <f t="array" ref="J40">IF(AND($D39="",J39&lt;&gt;""),"Genre?",IF(J39="","",IF(D39="F","F = 0",IF(J39="x",0,IF(J39="DSQ",1,IF(J39="ABD",1,IF(J39="NP",0,IF($D39="F",IF(J39&lt;Min_F!H$2,Min_F!$A$2,IF(COUNTIF(Min_F!H:H,J39)=1,_xlfn.XLOOKUP(J39,Min_F!H:H,Min_F!$A:$A),INDEX(Min_F!$A:$A,MATCH(J39,Min_F!H:H)+1))),IF(J39&lt;Min_G!H$2,Min_G!$A$2,IF(COUNTIF(Min_G!H:H,J39)=1,_xlfn.XLOOKUP(J39,Min_G!H:H,Min_G!$A:$A),INDEX(Min_G!$A:$A,MATCH(J39,Min_G!H:H)+1))))))))))&amp;IF(J39="",""," pt(s)"))</f>
        <v/>
      </c>
      <c r="K40" s="84" t="str" cm="1">
        <f t="array" ref="K40">IF(AND($D39="",K39&lt;&gt;""),"Genre?",IF(K39="","",IF(K39="x",0,IF(K39="DSQ",1,IF(K39="ABD",1,IF(K39="NP",0,IF($D39="F",IF(K39&lt;Min_F!I$2,Min_F!$A$2,IF(COUNTIF(Min_F!I:I,K39)=1,_xlfn.XLOOKUP(K39,Min_F!I:I,Min_F!$A:$A),INDEX(Min_F!$A:$A,MATCH(K39,Min_F!I:I)+1))),IF(K39&lt;Min_G!I$2,Min_G!$A$2,IF(COUNTIF(Min_G!I:I,K39)=1,_xlfn.XLOOKUP(K39,Min_G!I:I,Min_G!$A:$A),INDEX(Min_G!$A:$A,MATCH(K39,Min_G!I:I)+1)))))))))&amp;IF(K39="",""," pt(s)"))</f>
        <v/>
      </c>
      <c r="L40" s="98" t="str" cm="1">
        <f t="array" ref="L40">IF(AND($D39="",L39&lt;&gt;""),"Genre?",IF(L39="","",IF(L39="x",0,IF(L39="DSQ",1,IF(L39="ABD",1,IF(L39="NP",0,IF($D39="F",IF(L39&lt;Min_F!D$2,Min_F!$A$2,IF(COUNTIF(Min_F!D:D,L39)=1,_xlfn.XLOOKUP(L39,Min_F!D:D,Min_F!$A:$A),INDEX(Min_F!$A:$A,MATCH(L39,Min_F!D:D)+1))),IF(L39&lt;Min_G!D$2,Min_G!$A$2,IF(COUNTIF(Min_G!D:D,L39)=1,_xlfn.XLOOKUP(L39,Min_G!D:D,Min_G!$A:$A),INDEX(Min_G!$A:$A,MATCH(L39,Min_G!D:D)+1)))))))))&amp;IF(L39="",""," pt(s)"))</f>
        <v/>
      </c>
      <c r="M40" s="99" t="str" cm="1">
        <f t="array" ref="M40">IF(AND($D39="",M39&lt;&gt;""),"Genre?",IF(M39="","",IF(M39="x",0,IF(M39="DSQ",1,IF(M39="ABD",1,IF(M39="NP",0,IF($D39="F",IF(M39&lt;Min_F!E$2,Min_F!$A$2,IF(COUNTIF(Min_F!E:E,M39)=1,_xlfn.XLOOKUP(M39,Min_F!E:E,Min_F!$A:$A),INDEX(Min_F!$A:$A,MATCH(M39,Min_F!E:E)+1))),IF(M39&lt;Min_G!E$2,Min_G!$A$2,IF(COUNTIF(Min_G!E:E,M39)=1,_xlfn.XLOOKUP(M39,Min_G!E:E,Min_G!$A:$A),INDEX(Min_G!$A:$A,MATCH(M39,Min_G!E:E)+1)))))))))&amp;IF(M39="",""," pt(s)"))</f>
        <v/>
      </c>
      <c r="N40" s="62" t="str" cm="1">
        <f t="array" ref="N40">IF(AND($D39="",N39&lt;&gt;""),"Genre?",IF(N39="","",IF(N39="x",0,IF(N39="DSQ",1,IF(N39="ABD",1,IF(N39="NP",0,IF($D39="F",IF(N39&gt;Min_F!J$2,Min_F!$A$2,IF(COUNTIF(Min_F!J:J,N39)=1,_xlfn.XLOOKUP(N39,Min_F!J:J,Min_F!$A:$A),INDEX(Min_F!$A:$A,MATCH(N39,Min_F!J:J,-1)+1))),IF(N39&gt;Min_G!J$2,Min_G!$A$2,IF(COUNTIF(Min_G!J:J,N39)=1,_xlfn.XLOOKUP(N39,Min_G!J:J,Min_G!$A:$A),INDEX(Min_G!$A:$A,MATCH(N39,Min_G!J:J,-1)+1)))))))))&amp;IF(N39="",""," pt(s)"))</f>
        <v/>
      </c>
      <c r="O40" s="62" t="str" cm="1">
        <f t="array" ref="O40">IF(AND($D39="",O39&lt;&gt;""),"Genre?",IF(O39="","",IF(O39="x",0,IF(O39="DSQ",1,IF(O39="ABD",1,IF(O39="NP",0,IF($D39="F",IF(O39&gt;Min_F!K$2,Min_F!$A$2,IF(COUNTIF(Min_F!K:K,O39)=1,_xlfn.XLOOKUP(O39,Min_F!K:K,Min_F!$A:$A),INDEX(Min_F!$A:$A,MATCH(O39,Min_F!K:K,-1)+1))),IF(O39&gt;Min_G!K$2,Min_G!$A$2,IF(COUNTIF(Min_G!K:K,O39)=1,_xlfn.XLOOKUP(O39,Min_G!K:K,Min_G!$A:$A),INDEX(Min_G!$A:$A,MATCH(O39,Min_G!K:K,-1)+1)))))))))&amp;IF(O39="",""," pt(s)"))</f>
        <v/>
      </c>
      <c r="P40" s="62" t="str" cm="1">
        <f t="array" ref="P40">IF(AND($D39="",P39&lt;&gt;""),"Genre?",IF(P39="","",IF(P39="x",0,IF(P39="DSQ",1,IF(P39="ABD",1,IF(P39="NP",0,IF($D39="F",IF(P39&gt;Min_F!L$2,Min_F!$A$2,IF(COUNTIF(Min_F!L:L,P39)=1,_xlfn.XLOOKUP(P39,Min_F!L:L,Min_F!$A:$A),INDEX(Min_F!$A:$A,MATCH(P39,Min_F!L:L,-1)+1))),IF(P39&gt;Min_G!L$2,Min_G!$A$2,IF(COUNTIF(Min_G!L:L,P39)=1,_xlfn.XLOOKUP(P39,Min_G!L:L,Min_G!$A:$A),INDEX(Min_G!$A:$A,MATCH(P39,Min_G!L:L,-1)+1)))))))))&amp;IF(P39="",""," pt(s)"))</f>
        <v/>
      </c>
      <c r="Q40" s="100" t="str" cm="1">
        <f t="array" ref="Q40">IF(AND($D39="",Q39&lt;&gt;""),"Genre?",IF(Q39="","",IF(Q39="x",0,IF(Q39="DSQ",1,IF(Q39="ABD",1,IF(Q39="NP",0,IF($D39="F",IF(Q39&gt;Min_F!M$2,Min_F!$A$2,IF(COUNTIF(Min_F!M:M,Q39)=1,_xlfn.XLOOKUP(Q39,Min_F!M:M,Min_F!$A:$A),INDEX(Min_F!$A:$A,MATCH(Q39,Min_F!M:M,-1)+1))),IF(Q39&gt;Min_G!M$2,Min_G!$A$2,IF(COUNTIF(Min_G!M:M,Q39)=1,_xlfn.XLOOKUP(Q39,Min_G!M:M,Min_G!$A:$A),INDEX(Min_G!$A:$A,MATCH(Q39,Min_G!M:M,-1)+1)))))))))&amp;IF(Q39="",""," pt(s)"))</f>
        <v/>
      </c>
      <c r="R40" s="98" t="str" cm="1">
        <f t="array" ref="R40">IF(AND($D39="",R39&lt;&gt;""),"Genre?",IF(R39="","",IF(R39="x",0,IF(R39="DSQ",1,IF(R39="ABD",1,IF(R39="NP",0,IF($D39="F",IF(R39&gt;Min_F!N$2,Min_F!$A$2,IF(COUNTIF(Min_F!N:N,R39)=1,_xlfn.XLOOKUP(R39,Min_F!N:N,Min_F!$A:$A),INDEX(Min_F!$A:$A,MATCH(R39,Min_F!N:N,-1)+1))),IF(R39&gt;Min_G!N$2,Min_G!$A$2,IF(COUNTIF(Min_G!N:N,R39)=1,_xlfn.XLOOKUP(R39,Min_G!N:N,Min_G!$A:$A),INDEX(Min_G!$A:$A,MATCH(R39,Min_G!N:N,-1)+1)))))))))&amp;IF(R39="",""," pt(s)"))</f>
        <v/>
      </c>
      <c r="S40" s="62" t="str" cm="1">
        <f t="array" ref="S40">IF(AND($D39="",S39&lt;&gt;""),"Genre?",IF(S39="","",IF(S39="x",0,IF(S39="DSQ",1,IF(S39="ABD",1,IF(S39="NP",0,IF($D39="F",IF(S39&gt;Min_F!O$2,Min_F!$A$2,IF(COUNTIF(Min_F!O:O,S39)=1,_xlfn.XLOOKUP(S39,Min_F!O:O,Min_F!$A:$A),INDEX(Min_F!$A:$A,MATCH(S39,Min_F!O:O,-1)+1))),IF(S39&gt;Min_G!O$2,Min_G!$A$2,IF(COUNTIF(Min_G!O:O,S39)=1,_xlfn.XLOOKUP(S39,Min_G!O:O,Min_G!$A:$A),INDEX(Min_G!$A:$A,MATCH(S39,Min_G!O:O,-1)+1)))))))))&amp;IF(S39="",""," pt(s)"))</f>
        <v/>
      </c>
      <c r="T40" s="62" t="str" cm="1">
        <f t="array" ref="T40">IF(AND($D39="",T39&lt;&gt;""),"Genre?",IF(T39="","",IF(T39="x",0,IF(T39="DSQ",1,IF(T39="ABD",1,IF(T39="NP",0,IF($D39="F",IF(T39&gt;Min_F!P$2,Min_F!$A$2,IF(COUNTIF(Min_F!P:P,T39)=1,_xlfn.XLOOKUP(T39,Min_F!P:P,Min_F!$A:$A),INDEX(Min_F!$A:$A,MATCH(T39,Min_F!P:P,-1)+1))),IF(T39&gt;Min_G!P$2,Min_G!$A$2,IF(COUNTIF(Min_G!P:P,T39)=1,_xlfn.XLOOKUP(T39,Min_G!P:P,Min_G!$A:$A),INDEX(Min_G!$A:$A,MATCH(T39,Min_G!P:P,-1)+1)))))))))&amp;IF(T39="",""," pt(s)"))</f>
        <v/>
      </c>
      <c r="U40" s="100" t="str" cm="1">
        <f t="array" ref="U40">IF(AND($D39="",U39&lt;&gt;""),"Genre?",IF(U39="","",IF(U39="x",0,IF(U39="DSQ",1,IF(U39="ABD",1,IF(U39="NP",0,IF($D39="F",IF(U39&gt;Min_F!Q$2,Min_F!$A$2,IF(COUNTIF(Min_F!Q:Q,U39)=1,_xlfn.XLOOKUP(U39,Min_F!Q:Q,Min_F!$A:$A),INDEX(Min_F!$A:$A,MATCH(U39,Min_F!Q:Q,-1)+1))),IF(U39&gt;Min_G!Q$2,Min_G!$A$2,IF(COUNTIF(Min_G!Q:Q,U39)=1,_xlfn.XLOOKUP(U39,Min_G!Q:Q,Min_G!$A:$A),INDEX(Min_G!$A:$A,MATCH(U39,Min_G!Q:Q,-1)+1)))))))))&amp;IF(U39="",""," pt(s)"))</f>
        <v/>
      </c>
      <c r="V40" s="177"/>
      <c r="W40" s="194"/>
      <c r="X40" s="137"/>
      <c r="Y40" s="138"/>
      <c r="Z40" s="226"/>
    </row>
    <row r="41" spans="1:26" ht="30" hidden="1" customHeight="1" thickTop="1" thickBot="1" x14ac:dyDescent="0.35">
      <c r="V41" s="5" t="str">
        <f>IF($V21="","NON",IF(COUNTA(V23:V40)=0,"NON",IF(COUNTA(V23:V40)&lt;4,"NON",IF(COUNTIF(V23:V40,"x")&gt;6,"NON",IF(COUNTA(V23:V40)&gt;6,"NON",IF(AND(V21="MG",COUNTIF(W23:W40,"MG")&lt;4),"NON",IF(AND(V21="MG",COUNTIF(W23:W40,"MG")&gt;6),"NON",IF(AND(V21="MG",COUNTIF(W23:W40,"MF")&gt;0),"NON",IF(AND(V21="MF",COUNTIF(W23:W40,"MF")&lt;4),"NON",IF(AND(V21="MF",COUNTIF(W23:W40,"MF")&gt;6),"NON",IF(AND(V21="MF",COUNTIF(W23:W40,"MG")&gt;0),"NON",IF(AND(V21="MIXTE",OR(COUNTIF(W23:W40,"MF")&lt;2,COUNTIF(W23:W40,"MF")&gt;3,COUNTIF(W23:W40,"MG")&lt;2,COUNTIF(W23:W40,"MG")&gt;3)),"NON",IF(COUNTIF(V23:V40,"DSQ")=COUNTA(V23:V40),"OUI",IF(AND(COUNTIF(V23:V40,"DSQ")&gt;0,COUNTIF(V23:V40,"DSQ")&lt;&gt;COUNTA(V23:V40)),"NON",IF(COUNTIF(V23:V40,"ABD")=COUNTA(V23:V40),"OUI",IF(AND(COUNTIF(V23:V40,"ABD")&gt;0,COUNTIF(V23:V40,"ABD")&lt;&gt;COUNTA(V23:V40)),"NON",IF(COUNTIF(V23:V40,"NP")=COUNTA(V23:V40),"OUI",IF(AND(COUNTIF(V23:V40,"NP")&gt;0,COUNTIF(V23:V40,"NP")&lt;&gt;COUNTA(V23:V40)),"NON",IF(COUNTIF(V23:V40,"x")=6,"OUI",IF(AND(COUNTIF(V23:V40,"x")=5,COUNTA(V23:V40)=5),"OUI",IF(AND(COUNTIF(V23:V40,"x")=4,COUNTA(V23:V40)=4),"OUI",IF(AND(COUNTIF(V23:V40,"x")=5,COUNTA(V23:V40)&gt;5),"NON",IF(AND(COUNTIF(V23:V40,"x")=4,COUNTA(V23:V40)&gt;4),"NON",IF(AND(COUNTIF(V23:V40,"x")=3,COUNTA(V23:V40)&gt;3),"NON",IF(AND(COUNTIF(V23:V40,"x")=2,COUNTA(V23:V40)&gt;2),"NON",IF(AND(COUNTIF(V23:V40,"x")=1,COUNTA(V23:V40)&gt;1),"NON",IF((_xlfn.XLOOKUP(AVERAGE(V23:V40),V23:V40,V23:V40,0,0,1)&lt;&gt;AVERAGE(V23:V40)),"NON","OUI")))))))))))))))))))))))))))</f>
        <v>NON</v>
      </c>
    </row>
    <row r="42" spans="1:26" ht="15.6" thickTop="1" thickBot="1" x14ac:dyDescent="0.35">
      <c r="C42" s="163" t="s">
        <v>27</v>
      </c>
      <c r="D42" s="163"/>
      <c r="E42" s="163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  <c r="V42" s="44" t="str">
        <f>IF(V41="OUI","OUI","NON")</f>
        <v>NON</v>
      </c>
      <c r="W42" s="5"/>
    </row>
    <row r="43" spans="1:26" ht="15.6" thickTop="1" thickBot="1" x14ac:dyDescent="0.35">
      <c r="C43" s="166" t="s">
        <v>75</v>
      </c>
      <c r="D43" s="166"/>
      <c r="E43" s="167"/>
      <c r="F43" s="141" t="str">
        <f>IF(COUNTA(F23:M23,F25:M25,F27:M27,F29:M29,F33:M33,F35:M35,F37:M37,F39:M39)&gt;=2,"OUI","NON")</f>
        <v>NON</v>
      </c>
      <c r="G43" s="142"/>
      <c r="H43" s="142"/>
      <c r="I43" s="142"/>
      <c r="J43" s="142"/>
      <c r="K43" s="142"/>
      <c r="L43" s="142"/>
      <c r="M43" s="143"/>
      <c r="N43" s="141" t="str">
        <f>IF(COUNTA(N23:Q23,N25:Q25,N27:Q27,N29:Q29,N33:Q33,N35:Q35,N37:Q37,N39:Q39)&gt;=2,"OUI","NON")</f>
        <v>NON</v>
      </c>
      <c r="O43" s="142"/>
      <c r="P43" s="142"/>
      <c r="Q43" s="143"/>
      <c r="R43" s="141" t="str">
        <f>IF(COUNTA(R23:U23,R25:U25,R27:U27,R29:U29,R33:U33,R35:U35,R37:U37,R39:U39)&gt;=2,"OUI","NON")</f>
        <v>NON</v>
      </c>
      <c r="S43" s="142"/>
      <c r="T43" s="142"/>
      <c r="U43" s="143"/>
      <c r="W43" s="5"/>
    </row>
    <row r="44" spans="1:26" ht="15.6" hidden="1" thickTop="1" thickBot="1" x14ac:dyDescent="0.35">
      <c r="C44" s="205" t="s">
        <v>77</v>
      </c>
      <c r="D44" s="205"/>
      <c r="E44" s="206"/>
      <c r="F44" s="141">
        <f>COUNTA(F23:G23,F25:G25,F27:G27,F29:G29,F31:G31,F33:G33,F35:G35,F37:G37,F39:G39)</f>
        <v>0</v>
      </c>
      <c r="G44" s="142"/>
      <c r="H44" s="142">
        <f>COUNTA(H23:K23,H25:K25,H27:K27,H29:K29,H31:K31,H33:K33,H35:K35,H37:K37,H39:K39)</f>
        <v>0</v>
      </c>
      <c r="I44" s="142"/>
      <c r="J44" s="142"/>
      <c r="K44" s="142"/>
      <c r="L44" s="142">
        <f>COUNTA(L23:M23,L25:M25,L27:M27,L29:M29,L31:M31,L33:M33,L35:M35,L37:M37,L39:M39)</f>
        <v>0</v>
      </c>
      <c r="M44" s="143"/>
      <c r="N44" s="87">
        <f>COUNTA(N23,N25,N27,N29,N31,N33,N35,N37,N39)</f>
        <v>0</v>
      </c>
      <c r="O44" s="88">
        <f t="shared" ref="O44:U44" si="32">COUNTA(O23,O25,O27,O29,O31,O33,O35,O37,O39)</f>
        <v>0</v>
      </c>
      <c r="P44" s="88">
        <f t="shared" si="32"/>
        <v>0</v>
      </c>
      <c r="Q44" s="89">
        <f t="shared" si="32"/>
        <v>0</v>
      </c>
      <c r="R44" s="87">
        <f t="shared" si="32"/>
        <v>0</v>
      </c>
      <c r="S44" s="88">
        <f t="shared" si="32"/>
        <v>0</v>
      </c>
      <c r="T44" s="88">
        <f>COUNTA(T23,T25,T27,T29,T31,T33,T35,T37,T39)</f>
        <v>0</v>
      </c>
      <c r="U44" s="89">
        <f t="shared" si="32"/>
        <v>0</v>
      </c>
      <c r="V44" s="5"/>
      <c r="W44" s="5"/>
    </row>
    <row r="45" spans="1:26" ht="15.6" thickTop="1" thickBot="1" x14ac:dyDescent="0.35">
      <c r="C45" s="205" t="s">
        <v>76</v>
      </c>
      <c r="D45" s="205"/>
      <c r="E45" s="206"/>
      <c r="F45" s="141" t="str">
        <f>IF(F43="NON","NON",IF(AND(F44&gt;=1,H44&gt;=1),"OUI",IF(AND(F44&gt;=1,L44&gt;=1),"OUI",IF(AND(H44&gt;=1,L44&gt;=1),"OUI","NON"))))</f>
        <v>NON</v>
      </c>
      <c r="G45" s="142"/>
      <c r="H45" s="142"/>
      <c r="I45" s="142"/>
      <c r="J45" s="142"/>
      <c r="K45" s="142"/>
      <c r="L45" s="142"/>
      <c r="M45" s="143"/>
      <c r="N45" s="141" t="str">
        <f>IF(N43="NON","NON",IF(AND(N44&gt;=1,O44&gt;=1),"OUI",IF(AND(N44&gt;=1,P44&gt;=1),"OUI",IF(AND(N44&gt;=1,Q44&gt;=1),"OUI",IF(AND(O44&gt;=1,P44&gt;=1),"OUI",IF(AND(O44&gt;=1,Q44&gt;=1),"OUI",IF(AND(P44&gt;=1,Q44&gt;=1),"OUI","NON")))))))</f>
        <v>NON</v>
      </c>
      <c r="O45" s="142"/>
      <c r="P45" s="142"/>
      <c r="Q45" s="143"/>
      <c r="R45" s="141" t="str">
        <f>IF(R43="NON","NON",IF(AND(R44&gt;=1,S44&gt;=1),"OUI",IF(AND(R44&gt;=1,T44&gt;=1),"OUI",IF(AND(R44&gt;=1,U44&gt;=1),"OUI",IF(AND(S44&gt;=1,T44&gt;=1),"OUI",IF(AND(S44&gt;=1,U44&gt;=1),"OUI",IF(AND(T44&gt;=1,U44&gt;=1),"OUI","NON")))))))</f>
        <v>NON</v>
      </c>
      <c r="S45" s="142"/>
      <c r="T45" s="142"/>
      <c r="U45" s="143"/>
      <c r="V45" s="5"/>
      <c r="W45" s="5"/>
    </row>
    <row r="46" spans="1:26" ht="15" customHeight="1" thickTop="1" thickBot="1" x14ac:dyDescent="0.35">
      <c r="C46" s="168" t="s">
        <v>81</v>
      </c>
      <c r="D46" s="168"/>
      <c r="E46" s="169"/>
      <c r="F46" s="141" t="str">
        <f>IF(F45="NON","NON",IF(SUM(F44:M44)&gt;6,"NON","OUI"))</f>
        <v>NON</v>
      </c>
      <c r="G46" s="142"/>
      <c r="H46" s="142"/>
      <c r="I46" s="142"/>
      <c r="J46" s="142"/>
      <c r="K46" s="142"/>
      <c r="L46" s="142"/>
      <c r="M46" s="143"/>
      <c r="N46" s="141" t="str">
        <f>IF(N45="NON","NON",IF(SUM(N44:Q44)&gt;6,"NON","OUI"))</f>
        <v>NON</v>
      </c>
      <c r="O46" s="142"/>
      <c r="P46" s="142"/>
      <c r="Q46" s="143"/>
      <c r="R46" s="141" t="str">
        <f>IF(R45="NON","NON",IF(SUM(R44:U44)&gt;6,"NON","OUI"))</f>
        <v>NON</v>
      </c>
      <c r="S46" s="142"/>
      <c r="T46" s="142"/>
      <c r="U46" s="143"/>
      <c r="V46" s="1"/>
      <c r="W46" s="1"/>
    </row>
    <row r="47" spans="1:26" ht="15" customHeight="1" thickTop="1" thickBot="1" x14ac:dyDescent="0.35">
      <c r="C47" s="174" t="s">
        <v>82</v>
      </c>
      <c r="D47" s="174"/>
      <c r="E47" s="175"/>
      <c r="F47" s="141" t="str">
        <f>IF(F46="NON","NON",IF(F44&lt;=3,"OUI","NON"))</f>
        <v>NON</v>
      </c>
      <c r="G47" s="143"/>
      <c r="H47" s="141" t="str">
        <f>IF(F46="NON","NON",IF(H44&lt;=3,"OUI","NON"))</f>
        <v>NON</v>
      </c>
      <c r="I47" s="142"/>
      <c r="J47" s="142"/>
      <c r="K47" s="143"/>
      <c r="L47" s="141" t="str">
        <f>IF(F46="NON","NON",IF(L44&lt;=3,"OUI","NON"))</f>
        <v>NON</v>
      </c>
      <c r="M47" s="143"/>
      <c r="N47" s="87" t="str">
        <f>IF(N46="NON","NON",IF(N44&lt;=3,"OUI","NON"))</f>
        <v>NON</v>
      </c>
      <c r="O47" s="87" t="str">
        <f>IF(N46="NON","NON",IF(O44&lt;=3,"OUI","NON"))</f>
        <v>NON</v>
      </c>
      <c r="P47" s="87" t="str">
        <f>IF(N46="NON","NON",IF(P44&lt;=3,"OUI","NON"))</f>
        <v>NON</v>
      </c>
      <c r="Q47" s="87" t="str">
        <f>IF(N46="NON","NON",IF(Q44&lt;=3,"OUI","NON"))</f>
        <v>NON</v>
      </c>
      <c r="R47" s="87" t="str">
        <f>IF(R46="NON","NON",IF(R44&lt;=3,"OUI","NON"))</f>
        <v>NON</v>
      </c>
      <c r="S47" s="87" t="str">
        <f>IF(R46="NON","NON",IF(S44&lt;=3,"OUI","NON"))</f>
        <v>NON</v>
      </c>
      <c r="T47" s="87" t="str">
        <f>IF(R46="NON","NON",IF(T44&lt;=3,"OUI","NON"))</f>
        <v>NON</v>
      </c>
      <c r="U47" s="8" t="str">
        <f>IF(R46="NON","NON",IF(U44&lt;=3,"OUI","NON"))</f>
        <v>NON</v>
      </c>
      <c r="V47" s="1"/>
      <c r="W47" s="1"/>
    </row>
    <row r="48" spans="1:26" ht="15" customHeight="1" thickTop="1" thickBot="1" x14ac:dyDescent="0.35">
      <c r="B48" s="1"/>
      <c r="C48" s="165" t="s">
        <v>74</v>
      </c>
      <c r="D48" s="165"/>
      <c r="E48" s="165"/>
      <c r="F48" s="92">
        <f>IF(V42="OUI",1+COUNTA(F23:U23,F25:U25,F27:U27,F29:U29,F31:U31,F33:U33,F35:U35,F37:U37,F39:U39),COUNTA(F23:U23,F25:U25,F27:U27,F29:U29,F31:U31,F33:U33,F35:U35,F37:U37,F39:U39))</f>
        <v>0</v>
      </c>
      <c r="G48" s="141" t="str">
        <f>IF(V42="NON","NON",IF(F48=16,"OUI",IF(F48=17,"OUI",IF(F48=18,"OUI",IF(F48=19,"OUI","NON")))))</f>
        <v>NON</v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3"/>
      <c r="V48" s="7"/>
      <c r="W48" s="1"/>
    </row>
    <row r="49" spans="3:25" ht="15" hidden="1" thickTop="1" x14ac:dyDescent="0.3">
      <c r="F49" s="33">
        <v>1</v>
      </c>
      <c r="G49" s="33">
        <v>2</v>
      </c>
      <c r="H49" s="33">
        <v>3</v>
      </c>
      <c r="I49" s="33">
        <v>4</v>
      </c>
      <c r="J49" s="33">
        <v>5</v>
      </c>
      <c r="K49" s="33">
        <v>6</v>
      </c>
      <c r="L49" s="33">
        <v>7</v>
      </c>
      <c r="M49" s="33">
        <v>8</v>
      </c>
      <c r="N49" s="33">
        <v>9</v>
      </c>
      <c r="O49" s="33">
        <v>10</v>
      </c>
      <c r="P49" s="33">
        <v>11</v>
      </c>
      <c r="Q49" s="33">
        <v>12</v>
      </c>
      <c r="R49" s="33">
        <v>13</v>
      </c>
      <c r="S49" s="33">
        <v>14</v>
      </c>
      <c r="T49" s="33">
        <v>15</v>
      </c>
      <c r="U49" s="33">
        <v>16</v>
      </c>
      <c r="V49" s="86" t="s">
        <v>86</v>
      </c>
      <c r="W49" s="86"/>
      <c r="X49" s="94"/>
      <c r="Y49" s="86">
        <f>F51+G51+N51+O51+R51+S51+V62+V54</f>
        <v>0</v>
      </c>
    </row>
    <row r="50" spans="3:25" hidden="1" x14ac:dyDescent="0.3">
      <c r="C50" s="111" t="s">
        <v>84</v>
      </c>
      <c r="D50" s="111"/>
      <c r="E50" s="111"/>
      <c r="F50" s="5">
        <f>LARGE($F$52:$G$60,1)</f>
        <v>0</v>
      </c>
      <c r="G50" s="5"/>
      <c r="H50" s="5">
        <f>LARGE($H$52:$K$60,1)</f>
        <v>0</v>
      </c>
      <c r="I50" s="5"/>
      <c r="J50" s="5"/>
      <c r="K50" s="5"/>
      <c r="L50" s="5">
        <f>LARGE($L$52:$M$60,1)</f>
        <v>0</v>
      </c>
      <c r="M50" s="5"/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>
        <f>LARGE($T$52:$T$60,1)</f>
        <v>0</v>
      </c>
      <c r="U50" s="5">
        <f>LARGE($U$52:$U$60,1)</f>
        <v>0</v>
      </c>
      <c r="V50" s="5" t="s">
        <v>42</v>
      </c>
      <c r="W50" s="5"/>
      <c r="Y50" s="85" t="e">
        <f>IF(AND(_xlfn.NUMBERVALUE(SUBSTITUTE(V19," pt(s)",""))&gt;=0,_xlfn.NUMBERVALUE(SUBSTITUTE(V19," pt(s)",""))&lt;=50),_xlfn.NUMBERVALUE(SUBSTITUTE(V19," pt(s)","")),0)</f>
        <v>#VALUE!</v>
      </c>
    </row>
    <row r="51" spans="3:25" hidden="1" x14ac:dyDescent="0.3">
      <c r="C51" s="111" t="s">
        <v>85</v>
      </c>
      <c r="D51" s="111"/>
      <c r="E51" s="111"/>
      <c r="F51" s="85">
        <f>LARGE($F$50:$M$50,1)</f>
        <v>0</v>
      </c>
      <c r="G51" s="85">
        <f>LARGE($F$50:$M$50,2)</f>
        <v>0</v>
      </c>
      <c r="H51" s="85"/>
      <c r="I51" s="85"/>
      <c r="J51" s="85"/>
      <c r="K51" s="85"/>
      <c r="L51" s="85"/>
      <c r="M51" s="85"/>
      <c r="N51" s="85">
        <f>LARGE($N$50:$Q$50,1)</f>
        <v>0</v>
      </c>
      <c r="O51" s="85">
        <f>LARGE($N$50:$Q$50,2)</f>
        <v>0</v>
      </c>
      <c r="P51" s="85"/>
      <c r="Q51" s="85"/>
      <c r="R51" s="85">
        <f>LARGE($R$50:$U$50,1)</f>
        <v>0</v>
      </c>
      <c r="S51" s="85">
        <f>LARGE($R$50:$U$50,2)</f>
        <v>0</v>
      </c>
      <c r="T51" s="85"/>
      <c r="U51" s="85"/>
      <c r="V51" s="5"/>
      <c r="W51" s="5"/>
      <c r="Y51" s="85"/>
    </row>
    <row r="52" spans="3:25" hidden="1" x14ac:dyDescent="0.3">
      <c r="D52" s="33"/>
      <c r="E52" s="5"/>
      <c r="F52" s="5">
        <f>_xlfn.NUMBERVALUE(IF(F24="",0,SUBSTITUTE(F24," pt(s)","")))</f>
        <v>0</v>
      </c>
      <c r="G52" s="5">
        <f t="shared" ref="G52:U52" si="33">_xlfn.NUMBERVALUE(IF(G24="",0,SUBSTITUTE(G24," pt(s)","")))</f>
        <v>0</v>
      </c>
      <c r="H52" s="5">
        <f t="shared" si="33"/>
        <v>0</v>
      </c>
      <c r="I52" s="5">
        <f t="shared" si="33"/>
        <v>0</v>
      </c>
      <c r="J52" s="5">
        <f t="shared" si="33"/>
        <v>0</v>
      </c>
      <c r="K52" s="5">
        <f t="shared" si="33"/>
        <v>0</v>
      </c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  <c r="T52" s="5">
        <f t="shared" si="33"/>
        <v>0</v>
      </c>
      <c r="U52" s="5">
        <f t="shared" si="33"/>
        <v>0</v>
      </c>
    </row>
    <row r="53" spans="3:25" hidden="1" x14ac:dyDescent="0.3">
      <c r="D53" s="33"/>
      <c r="E53" s="5"/>
      <c r="F53" s="5">
        <f>_xlfn.NUMBERVALUE(IF(F26="",0,SUBSTITUTE(F26," pt(s)","")))</f>
        <v>0</v>
      </c>
      <c r="G53" s="5">
        <f t="shared" ref="G53:U53" si="34">_xlfn.NUMBERVALUE(IF(G26="",0,SUBSTITUTE(G26," pt(s)","")))</f>
        <v>0</v>
      </c>
      <c r="H53" s="5">
        <f t="shared" si="34"/>
        <v>0</v>
      </c>
      <c r="I53" s="5">
        <f t="shared" si="34"/>
        <v>0</v>
      </c>
      <c r="J53" s="5">
        <f t="shared" si="34"/>
        <v>0</v>
      </c>
      <c r="K53" s="5">
        <f t="shared" si="34"/>
        <v>0</v>
      </c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5">
        <f t="shared" si="34"/>
        <v>0</v>
      </c>
      <c r="U53" s="5">
        <f t="shared" si="34"/>
        <v>0</v>
      </c>
      <c r="V53" s="95" t="s">
        <v>50</v>
      </c>
      <c r="W53" s="95"/>
    </row>
    <row r="54" spans="3:25" hidden="1" x14ac:dyDescent="0.3">
      <c r="D54" s="33"/>
      <c r="E54" s="5"/>
      <c r="F54" s="5">
        <f>_xlfn.NUMBERVALUE(IF(F28="",0,SUBSTITUTE(F28," pt(s)","")))</f>
        <v>0</v>
      </c>
      <c r="G54" s="5">
        <f t="shared" ref="G54:U54" si="35">_xlfn.NUMBERVALUE(IF(G28="",0,SUBSTITUTE(G28," pt(s)","")))</f>
        <v>0</v>
      </c>
      <c r="H54" s="5">
        <f t="shared" si="35"/>
        <v>0</v>
      </c>
      <c r="I54" s="5">
        <f t="shared" si="35"/>
        <v>0</v>
      </c>
      <c r="J54" s="5">
        <f t="shared" si="35"/>
        <v>0</v>
      </c>
      <c r="K54" s="5">
        <f t="shared" si="35"/>
        <v>0</v>
      </c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5">
        <f t="shared" si="35"/>
        <v>0</v>
      </c>
      <c r="U54" s="5">
        <f t="shared" si="35"/>
        <v>0</v>
      </c>
      <c r="V54" s="85">
        <f>IFERROR(Y50,0)</f>
        <v>0</v>
      </c>
      <c r="W54" s="85"/>
    </row>
    <row r="55" spans="3:25" hidden="1" x14ac:dyDescent="0.3">
      <c r="D55" s="33"/>
      <c r="E55" s="5"/>
      <c r="F55" s="5">
        <f>_xlfn.NUMBERVALUE(IF(F30="",0,SUBSTITUTE(F30," pt(s)","")))</f>
        <v>0</v>
      </c>
      <c r="G55" s="5">
        <f t="shared" ref="G55:U55" si="36">_xlfn.NUMBERVALUE(IF(G30="",0,SUBSTITUTE(G30," pt(s)","")))</f>
        <v>0</v>
      </c>
      <c r="H55" s="5">
        <f t="shared" si="36"/>
        <v>0</v>
      </c>
      <c r="I55" s="5">
        <f t="shared" si="36"/>
        <v>0</v>
      </c>
      <c r="J55" s="5">
        <f t="shared" si="36"/>
        <v>0</v>
      </c>
      <c r="K55" s="5">
        <f t="shared" si="36"/>
        <v>0</v>
      </c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  <c r="T55" s="5">
        <f t="shared" si="36"/>
        <v>0</v>
      </c>
      <c r="U55" s="5">
        <f t="shared" si="36"/>
        <v>0</v>
      </c>
    </row>
    <row r="56" spans="3:25" hidden="1" x14ac:dyDescent="0.3">
      <c r="D56" s="33"/>
      <c r="E56" s="5"/>
      <c r="F56" s="5">
        <f>_xlfn.NUMBERVALUE(IF(F32="",0,SUBSTITUTE(F32," pt(s)","")))</f>
        <v>0</v>
      </c>
      <c r="G56" s="5">
        <f t="shared" ref="G56:U56" si="37">_xlfn.NUMBERVALUE(IF(G32="",0,SUBSTITUTE(G32," pt(s)","")))</f>
        <v>0</v>
      </c>
      <c r="H56" s="5">
        <f t="shared" si="37"/>
        <v>0</v>
      </c>
      <c r="I56" s="5">
        <f t="shared" si="37"/>
        <v>0</v>
      </c>
      <c r="J56" s="5">
        <f t="shared" si="37"/>
        <v>0</v>
      </c>
      <c r="K56" s="5">
        <f t="shared" si="37"/>
        <v>0</v>
      </c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  <c r="T56" s="5">
        <f t="shared" si="37"/>
        <v>0</v>
      </c>
      <c r="U56" s="5">
        <f t="shared" si="37"/>
        <v>0</v>
      </c>
    </row>
    <row r="57" spans="3:25" hidden="1" x14ac:dyDescent="0.3">
      <c r="D57" s="33"/>
      <c r="E57" s="5"/>
      <c r="F57" s="5">
        <f>_xlfn.NUMBERVALUE(IF(F34="",0,SUBSTITUTE(F34," pt(s)","")))</f>
        <v>0</v>
      </c>
      <c r="G57" s="5">
        <f t="shared" ref="G57:U57" si="38">_xlfn.NUMBERVALUE(IF(G34="",0,SUBSTITUTE(G34," pt(s)","")))</f>
        <v>0</v>
      </c>
      <c r="H57" s="5">
        <f t="shared" si="38"/>
        <v>0</v>
      </c>
      <c r="I57" s="5">
        <f t="shared" si="38"/>
        <v>0</v>
      </c>
      <c r="J57" s="5">
        <f t="shared" si="38"/>
        <v>0</v>
      </c>
      <c r="K57" s="5">
        <f t="shared" si="38"/>
        <v>0</v>
      </c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  <c r="T57" s="5">
        <f t="shared" si="38"/>
        <v>0</v>
      </c>
      <c r="U57" s="5">
        <f t="shared" si="38"/>
        <v>0</v>
      </c>
    </row>
    <row r="58" spans="3:25" hidden="1" x14ac:dyDescent="0.3">
      <c r="D58" s="33"/>
      <c r="E58" s="5"/>
      <c r="F58" s="5">
        <f>_xlfn.NUMBERVALUE(IF(F36="",0,SUBSTITUTE(F36," pt(s)","")))</f>
        <v>0</v>
      </c>
      <c r="G58" s="5">
        <f t="shared" ref="G58:U58" si="39">_xlfn.NUMBERVALUE(IF(G36="",0,SUBSTITUTE(G36," pt(s)","")))</f>
        <v>0</v>
      </c>
      <c r="H58" s="5">
        <f t="shared" si="39"/>
        <v>0</v>
      </c>
      <c r="I58" s="5">
        <f t="shared" si="39"/>
        <v>0</v>
      </c>
      <c r="J58" s="5">
        <f t="shared" si="39"/>
        <v>0</v>
      </c>
      <c r="K58" s="5">
        <f t="shared" si="39"/>
        <v>0</v>
      </c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  <c r="T58" s="5">
        <f t="shared" si="39"/>
        <v>0</v>
      </c>
      <c r="U58" s="5">
        <f t="shared" si="39"/>
        <v>0</v>
      </c>
    </row>
    <row r="59" spans="3:25" hidden="1" x14ac:dyDescent="0.3">
      <c r="D59" s="33"/>
      <c r="E59" s="5"/>
      <c r="F59" s="5">
        <f>_xlfn.NUMBERVALUE(IF(F38="",0,SUBSTITUTE(F38," pt(s)","")))</f>
        <v>0</v>
      </c>
      <c r="G59" s="5">
        <f t="shared" ref="G59:U59" si="40">_xlfn.NUMBERVALUE(IF(G38="",0,SUBSTITUTE(G38," pt(s)","")))</f>
        <v>0</v>
      </c>
      <c r="H59" s="5">
        <f t="shared" si="40"/>
        <v>0</v>
      </c>
      <c r="I59" s="5">
        <f t="shared" si="40"/>
        <v>0</v>
      </c>
      <c r="J59" s="5">
        <f t="shared" si="40"/>
        <v>0</v>
      </c>
      <c r="K59" s="5">
        <f t="shared" si="40"/>
        <v>0</v>
      </c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  <c r="T59" s="5">
        <f t="shared" si="40"/>
        <v>0</v>
      </c>
      <c r="U59" s="5">
        <f t="shared" si="40"/>
        <v>0</v>
      </c>
    </row>
    <row r="60" spans="3:25" hidden="1" x14ac:dyDescent="0.3">
      <c r="D60" s="33"/>
      <c r="E60" s="5"/>
      <c r="F60" s="5">
        <f>_xlfn.NUMBERVALUE(IF(F40="",0,SUBSTITUTE(F40," pt(s)","")))</f>
        <v>0</v>
      </c>
      <c r="G60" s="5">
        <f t="shared" ref="G60:U60" si="41">_xlfn.NUMBERVALUE(IF(G40="",0,SUBSTITUTE(G40," pt(s)","")))</f>
        <v>0</v>
      </c>
      <c r="H60" s="5">
        <f t="shared" si="41"/>
        <v>0</v>
      </c>
      <c r="I60" s="5">
        <f t="shared" si="41"/>
        <v>0</v>
      </c>
      <c r="J60" s="5">
        <f t="shared" si="41"/>
        <v>0</v>
      </c>
      <c r="K60" s="5">
        <f t="shared" si="41"/>
        <v>0</v>
      </c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  <c r="T60" s="5">
        <f t="shared" si="41"/>
        <v>0</v>
      </c>
      <c r="U60" s="5">
        <f t="shared" si="41"/>
        <v>0</v>
      </c>
    </row>
    <row r="61" spans="3:25" hidden="1" x14ac:dyDescent="0.3">
      <c r="D61" s="33"/>
      <c r="E61" s="5" t="s">
        <v>87</v>
      </c>
      <c r="F61" s="5">
        <f>LARGE($F$50:$M$50,3)</f>
        <v>0</v>
      </c>
      <c r="G61" s="5"/>
      <c r="H61" s="5"/>
      <c r="I61" s="5"/>
      <c r="J61" s="5"/>
      <c r="K61" s="5"/>
      <c r="L61" s="5"/>
      <c r="M61" s="5"/>
      <c r="N61" s="5">
        <f>LARGE($N$50:$Q$50,3)</f>
        <v>0</v>
      </c>
      <c r="O61" s="5">
        <f>LARGE($N$50:$Q$50,4)</f>
        <v>0</v>
      </c>
      <c r="P61" s="5"/>
      <c r="Q61" s="5"/>
      <c r="R61" s="5">
        <f>LARGE($R$50:$U$50,3)</f>
        <v>0</v>
      </c>
      <c r="S61" s="5">
        <f>LARGE($R$50:$U$50,4)</f>
        <v>0</v>
      </c>
      <c r="T61" s="5"/>
      <c r="U61" s="5"/>
      <c r="V61" s="5" t="s">
        <v>83</v>
      </c>
      <c r="W61" s="5"/>
    </row>
    <row r="62" spans="3:25" hidden="1" x14ac:dyDescent="0.3">
      <c r="D62" s="33"/>
      <c r="E62" s="5">
        <v>2</v>
      </c>
      <c r="F62" s="5">
        <f>LARGE($F$52:$G$60,2)</f>
        <v>0</v>
      </c>
      <c r="G62" s="5"/>
      <c r="H62" s="5">
        <f>LARGE($H$52:$K$60,2)</f>
        <v>0</v>
      </c>
      <c r="I62" s="5"/>
      <c r="J62" s="5"/>
      <c r="K62" s="5"/>
      <c r="L62" s="5">
        <f>LARGE($L$52:$M$60,2)</f>
        <v>0</v>
      </c>
      <c r="M62" s="5"/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5">
        <f>LARGE($T$52:$T$60,2)</f>
        <v>0</v>
      </c>
      <c r="U62" s="5">
        <f>LARGE($U$52:$U$60,2)</f>
        <v>0</v>
      </c>
      <c r="V62" s="85">
        <f>LARGE(F61:U63,1)+LARGE(F61:U63,2)+LARGE(F61:U63,3)+LARGE(F61:U63,4)+LARGE(F61:U63,5)+LARGE(F61:U63,6)+LARGE(F61:U63,7)+LARGE(F61:U63,8)+LARGE(F61:U63,9)</f>
        <v>0</v>
      </c>
      <c r="W62" s="85"/>
    </row>
    <row r="63" spans="3:25" hidden="1" x14ac:dyDescent="0.3">
      <c r="D63" s="33"/>
      <c r="E63" s="5">
        <v>3</v>
      </c>
      <c r="F63" s="5">
        <f>LARGE($F$52:$G$60,3)</f>
        <v>0</v>
      </c>
      <c r="G63" s="5"/>
      <c r="H63" s="5">
        <f>LARGE($H$52:$K$60,3)</f>
        <v>0</v>
      </c>
      <c r="I63" s="5"/>
      <c r="J63" s="5"/>
      <c r="K63" s="5"/>
      <c r="L63" s="5">
        <f>LARGE($L$52:$M$60,3)</f>
        <v>0</v>
      </c>
      <c r="M63" s="5"/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  <c r="T63" s="5">
        <f>LARGE($T$52:$T$60,3)</f>
        <v>0</v>
      </c>
      <c r="U63" s="5">
        <f>LARGE($U$52:$U$60,3)</f>
        <v>0</v>
      </c>
    </row>
    <row r="64" spans="3:25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9DWu1w3eWph8o4kD597vOlqKd4bJNdIyUCkvbQfRa/4LiwnfDENY3YqsFINS5ZILKDGqmh2/nSj9UWB3xKcB/g==" saltValue="4AXE3ABSOcZSxWZ9oZb05A==" spinCount="100000" sheet="1" selectLockedCells="1"/>
  <mergeCells count="148">
    <mergeCell ref="W35:W36"/>
    <mergeCell ref="W33:W34"/>
    <mergeCell ref="W31:W32"/>
    <mergeCell ref="W29:W30"/>
    <mergeCell ref="W27:W28"/>
    <mergeCell ref="W25:W26"/>
    <mergeCell ref="W23:W24"/>
    <mergeCell ref="Z39:Z40"/>
    <mergeCell ref="Z37:Z38"/>
    <mergeCell ref="Z35:Z36"/>
    <mergeCell ref="Z33:Z34"/>
    <mergeCell ref="Z31:Z32"/>
    <mergeCell ref="Z29:Z30"/>
    <mergeCell ref="Z27:Z28"/>
    <mergeCell ref="Z25:Z26"/>
    <mergeCell ref="Z23:Z24"/>
    <mergeCell ref="E35:E36"/>
    <mergeCell ref="A6:C6"/>
    <mergeCell ref="A7:C7"/>
    <mergeCell ref="H7:J7"/>
    <mergeCell ref="A3:B3"/>
    <mergeCell ref="U5:V5"/>
    <mergeCell ref="H5:M5"/>
    <mergeCell ref="P5:Q5"/>
    <mergeCell ref="L7:M7"/>
    <mergeCell ref="E23:E24"/>
    <mergeCell ref="G9:L9"/>
    <mergeCell ref="R5:T5"/>
    <mergeCell ref="N46:Q46"/>
    <mergeCell ref="R46:U46"/>
    <mergeCell ref="F46:M46"/>
    <mergeCell ref="F47:G47"/>
    <mergeCell ref="H47:K47"/>
    <mergeCell ref="L47:M47"/>
    <mergeCell ref="J3:Y3"/>
    <mergeCell ref="E5:G5"/>
    <mergeCell ref="E3:H3"/>
    <mergeCell ref="X23:Y24"/>
    <mergeCell ref="X35:Y36"/>
    <mergeCell ref="X33:Y34"/>
    <mergeCell ref="X25:Y26"/>
    <mergeCell ref="C45:E45"/>
    <mergeCell ref="F44:G44"/>
    <mergeCell ref="H44:K44"/>
    <mergeCell ref="L44:M44"/>
    <mergeCell ref="C44:E44"/>
    <mergeCell ref="F45:M45"/>
    <mergeCell ref="N45:Q45"/>
    <mergeCell ref="R45:U45"/>
    <mergeCell ref="G14:L14"/>
    <mergeCell ref="G16:L16"/>
    <mergeCell ref="V31:V32"/>
    <mergeCell ref="A1:Y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M13:Y13"/>
    <mergeCell ref="G13:L13"/>
    <mergeCell ref="V35:V36"/>
    <mergeCell ref="V33:V34"/>
    <mergeCell ref="V25:V26"/>
    <mergeCell ref="V27:V28"/>
    <mergeCell ref="V39:V40"/>
    <mergeCell ref="V37:V38"/>
    <mergeCell ref="V23:V24"/>
    <mergeCell ref="G10:L10"/>
    <mergeCell ref="G11:L11"/>
    <mergeCell ref="X27:Y28"/>
    <mergeCell ref="X31:Y32"/>
    <mergeCell ref="M9:Y9"/>
    <mergeCell ref="M10:Y10"/>
    <mergeCell ref="M11:Y11"/>
    <mergeCell ref="M12:Y12"/>
    <mergeCell ref="M14:Y14"/>
    <mergeCell ref="M16:Y16"/>
    <mergeCell ref="V21:V22"/>
    <mergeCell ref="F21:G21"/>
    <mergeCell ref="X29:Y30"/>
    <mergeCell ref="G12:L12"/>
    <mergeCell ref="H21:K21"/>
    <mergeCell ref="L21:M21"/>
    <mergeCell ref="N20:Q21"/>
    <mergeCell ref="R20:U21"/>
    <mergeCell ref="F20:M20"/>
    <mergeCell ref="W39:W40"/>
    <mergeCell ref="W37:W38"/>
    <mergeCell ref="C50:E50"/>
    <mergeCell ref="K17:L17"/>
    <mergeCell ref="K18:L18"/>
    <mergeCell ref="A9:E19"/>
    <mergeCell ref="G48:U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L15"/>
    <mergeCell ref="F43:M43"/>
    <mergeCell ref="C47:E47"/>
    <mergeCell ref="C51:E51"/>
    <mergeCell ref="M15:Y15"/>
    <mergeCell ref="X21:Y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V19:V20"/>
    <mergeCell ref="V29:V30"/>
    <mergeCell ref="X39:Y40"/>
    <mergeCell ref="X37:Y38"/>
    <mergeCell ref="N43:Q43"/>
    <mergeCell ref="R43:U43"/>
  </mergeCells>
  <phoneticPr fontId="17" type="noConversion"/>
  <conditionalFormatting sqref="A7:A8 D21 C42 V42:W42 W43 V44:W48 G48">
    <cfRule type="containsText" dxfId="19" priority="39" operator="containsText" text="OUI">
      <formula>NOT(ISERROR(SEARCH("OUI",A7)))</formula>
    </cfRule>
    <cfRule type="containsText" dxfId="18" priority="40" operator="containsText" text="NON">
      <formula>NOT(ISERROR(SEARCH("NON",A7)))</formula>
    </cfRule>
  </conditionalFormatting>
  <conditionalFormatting sqref="A7:C8">
    <cfRule type="expression" dxfId="17" priority="26">
      <formula>$A$7=OUI</formula>
    </cfRule>
  </conditionalFormatting>
  <conditionalFormatting sqref="F43:F47">
    <cfRule type="containsText" dxfId="16" priority="12" operator="containsText" text="OUI">
      <formula>NOT(ISERROR(SEARCH("OUI",F43)))</formula>
    </cfRule>
    <cfRule type="containsText" dxfId="15" priority="13" operator="containsText" text="NON">
      <formula>NOT(ISERROR(SEARCH("NON",F43)))</formula>
    </cfRule>
  </conditionalFormatting>
  <conditionalFormatting sqref="H47">
    <cfRule type="containsText" dxfId="14" priority="4" operator="containsText" text="OUI">
      <formula>NOT(ISERROR(SEARCH("OUI",H47)))</formula>
    </cfRule>
    <cfRule type="containsText" dxfId="13" priority="5" operator="containsText" text="NON">
      <formula>NOT(ISERROR(SEARCH("NON",H47)))</formula>
    </cfRule>
  </conditionalFormatting>
  <conditionalFormatting sqref="L7">
    <cfRule type="expression" dxfId="12" priority="24">
      <formula>$A$7="NON"</formula>
    </cfRule>
    <cfRule type="expression" dxfId="11" priority="25">
      <formula>$A$7="OUI"</formula>
    </cfRule>
  </conditionalFormatting>
  <conditionalFormatting sqref="L47">
    <cfRule type="containsText" dxfId="10" priority="2" operator="containsText" text="OUI">
      <formula>NOT(ISERROR(SEARCH("OUI",L47)))</formula>
    </cfRule>
    <cfRule type="containsText" dxfId="9" priority="3" operator="containsText" text="NON">
      <formula>NOT(ISERROR(SEARCH("NON",L47)))</formula>
    </cfRule>
  </conditionalFormatting>
  <conditionalFormatting sqref="N43:N47 O47:U47">
    <cfRule type="containsText" dxfId="8" priority="18" operator="containsText" text="OUI">
      <formula>NOT(ISERROR(SEARCH("OUI",N43)))</formula>
    </cfRule>
    <cfRule type="containsText" dxfId="7" priority="19" operator="containsText" text="NON">
      <formula>NOT(ISERROR(SEARCH("NON",N43)))</formula>
    </cfRule>
  </conditionalFormatting>
  <conditionalFormatting sqref="R43:R46">
    <cfRule type="containsText" dxfId="6" priority="14" operator="containsText" text="OUI">
      <formula>NOT(ISERROR(SEARCH("OUI",R43)))</formula>
    </cfRule>
    <cfRule type="containsText" dxfId="5" priority="15" operator="containsText" text="NON">
      <formula>NOT(ISERROR(SEARCH("NON",R43)))</formula>
    </cfRule>
  </conditionalFormatting>
  <conditionalFormatting sqref="U5:V5">
    <cfRule type="containsText" dxfId="4" priority="27" operator="containsText" text="OUI">
      <formula>NOT(ISERROR(SEARCH("OUI",U5)))</formula>
    </cfRule>
    <cfRule type="containsText" dxfId="3" priority="28" operator="containsText" text="NON">
      <formula>NOT(ISERROR(SEARCH("NON",U5)))</formula>
    </cfRule>
  </conditionalFormatting>
  <conditionalFormatting sqref="X23 X25 X27 X29 X31 X33 X35 X37 X39">
    <cfRule type="containsText" dxfId="2" priority="37" operator="containsText" text="OUI">
      <formula>NOT(ISERROR(SEARCH("OUI",X23)))</formula>
    </cfRule>
    <cfRule type="containsText" dxfId="1" priority="38" operator="containsText" text="NON">
      <formula>NOT(ISERROR(SEARCH("NON",X23)))</formula>
    </cfRule>
  </conditionalFormatting>
  <conditionalFormatting sqref="X23:Y40">
    <cfRule type="expression" dxfId="0" priority="1">
      <formula>X23="manque catégorie"</formula>
    </cfRule>
  </conditionalFormatting>
  <dataValidations count="2">
    <dataValidation type="custom" allowBlank="1" showInputMessage="1" showErrorMessage="1" errorTitle="Problème" error="Cette épreuve est réservée aux garçons." sqref="J24 J30 J28 J32 J26 J36 J34 J38 J40" xr:uid="{3EBDCCC5-A616-42F9-8AD7-2065EC0A3DBB}">
      <formula1>D24&lt;&gt;"F"</formula1>
    </dataValidation>
    <dataValidation type="custom" allowBlank="1" showInputMessage="1" showErrorMessage="1" errorTitle="Problème" error="Cette épreuve est réservée aux filles." sqref="H26 H36 H34 H32 H38 H24 H30 H28 H40" xr:uid="{03FF1A18-B24C-46A6-BC72-131A9397C3BF}">
      <formula1>D24&lt;&gt;"G"</formula1>
    </dataValidation>
  </dataValidations>
  <printOptions horizontalCentered="1" verticalCentered="1"/>
  <pageMargins left="0.19685039370078741" right="0.19685039370078741" top="0" bottom="0" header="0" footer="0"/>
  <pageSetup paperSize="9" scale="46" orientation="landscape" horizontalDpi="300" r:id="rId1"/>
  <ignoredErrors>
    <ignoredError sqref="F48 L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D25 D27 D29 D31 D33 D35 D37 D39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V21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F23:M23 F25:M25 F33:M33 F35:M35 F37:M37 F39:M39 F31:M31 F27:M27 F29:M29 V23:V40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N23:U23 N25:U25 N33:U33 N35:U35 N37:U37 N39:U39 N27:U27 N29:U29 N31:U31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H5:M5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/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55</v>
      </c>
      <c r="C2" t="s">
        <v>18</v>
      </c>
      <c r="E2" t="s">
        <v>52</v>
      </c>
      <c r="G2" t="s">
        <v>55</v>
      </c>
    </row>
    <row r="3" spans="1:7" x14ac:dyDescent="0.3">
      <c r="A3" t="s">
        <v>56</v>
      </c>
      <c r="C3" t="s">
        <v>19</v>
      </c>
      <c r="E3" t="s">
        <v>53</v>
      </c>
      <c r="G3" t="s">
        <v>56</v>
      </c>
    </row>
    <row r="4" spans="1:7" x14ac:dyDescent="0.3">
      <c r="E4" t="s">
        <v>54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AA51"/>
  <sheetViews>
    <sheetView workbookViewId="0">
      <selection activeCell="S47" sqref="S47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7" s="1" customFormat="1" ht="33" thickBot="1" x14ac:dyDescent="0.35">
      <c r="A1" s="11" t="s">
        <v>55</v>
      </c>
      <c r="B1" s="12" t="s">
        <v>64</v>
      </c>
      <c r="C1" s="12" t="s">
        <v>65</v>
      </c>
      <c r="D1" s="12" t="s">
        <v>62</v>
      </c>
      <c r="E1" s="12" t="s">
        <v>63</v>
      </c>
      <c r="F1" s="12" t="s">
        <v>66</v>
      </c>
      <c r="G1" s="12" t="s">
        <v>67</v>
      </c>
      <c r="H1" s="12"/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3"/>
      <c r="U1" s="13"/>
      <c r="V1" s="13"/>
      <c r="W1" s="11" t="s">
        <v>55</v>
      </c>
    </row>
    <row r="2" spans="1:27" s="1" customFormat="1" x14ac:dyDescent="0.3">
      <c r="A2" s="14">
        <v>50</v>
      </c>
      <c r="B2" s="16">
        <v>9.7100000000000006E-2</v>
      </c>
      <c r="C2" s="16">
        <v>0.14300000000000002</v>
      </c>
      <c r="D2" s="16">
        <v>2.5065</v>
      </c>
      <c r="E2" s="16">
        <v>6.181</v>
      </c>
      <c r="F2" s="16">
        <v>7.3499999999999996E-2</v>
      </c>
      <c r="G2" s="16">
        <v>0.1119</v>
      </c>
      <c r="H2" s="15"/>
      <c r="I2" s="16">
        <v>0.2777</v>
      </c>
      <c r="J2" s="15">
        <v>1.8</v>
      </c>
      <c r="K2" s="15">
        <v>3.9</v>
      </c>
      <c r="L2" s="15">
        <v>6.57</v>
      </c>
      <c r="M2" s="15">
        <v>13.31</v>
      </c>
      <c r="N2" s="15">
        <v>15.24</v>
      </c>
      <c r="O2" s="15">
        <v>48.99</v>
      </c>
      <c r="P2" s="15">
        <v>62.64</v>
      </c>
      <c r="Q2" s="15">
        <v>57.77</v>
      </c>
      <c r="R2" s="16">
        <v>0.29620000000000002</v>
      </c>
      <c r="S2" s="16">
        <v>0.28499999999999998</v>
      </c>
      <c r="T2" s="15"/>
      <c r="U2" s="15"/>
      <c r="V2" s="15"/>
      <c r="W2" s="17">
        <v>50</v>
      </c>
      <c r="Z2" s="110">
        <v>14.3</v>
      </c>
      <c r="AA2" s="110">
        <f>Z2/100</f>
        <v>0.14300000000000002</v>
      </c>
    </row>
    <row r="3" spans="1:27" s="1" customFormat="1" x14ac:dyDescent="0.3">
      <c r="A3" s="18">
        <v>49</v>
      </c>
      <c r="B3" s="20">
        <v>9.7500000000000003E-2</v>
      </c>
      <c r="C3" s="20">
        <v>0.1439</v>
      </c>
      <c r="D3" s="20">
        <v>2.5232000000000001</v>
      </c>
      <c r="E3" s="20">
        <v>6.2527999999999997</v>
      </c>
      <c r="F3" s="20">
        <v>7.4300000000000005E-2</v>
      </c>
      <c r="G3" s="20">
        <v>0.11310000000000001</v>
      </c>
      <c r="H3" s="19"/>
      <c r="I3" s="20">
        <v>0.28220000000000001</v>
      </c>
      <c r="J3" s="19">
        <v>1.78</v>
      </c>
      <c r="K3" s="19">
        <v>3.78</v>
      </c>
      <c r="L3" s="19">
        <v>6.38</v>
      </c>
      <c r="M3" s="19">
        <v>13.05</v>
      </c>
      <c r="N3" s="19">
        <v>14.59</v>
      </c>
      <c r="O3" s="19">
        <v>46.87</v>
      </c>
      <c r="P3" s="19">
        <v>60.31</v>
      </c>
      <c r="Q3" s="19">
        <v>53.9</v>
      </c>
      <c r="R3" s="20">
        <v>0.29759999999999998</v>
      </c>
      <c r="S3" s="20">
        <v>0.28539999999999999</v>
      </c>
      <c r="T3" s="19"/>
      <c r="U3" s="19"/>
      <c r="V3" s="19"/>
      <c r="W3" s="21">
        <v>49</v>
      </c>
      <c r="Z3" s="110">
        <v>14.39</v>
      </c>
      <c r="AA3" s="110">
        <f t="shared" ref="AA3:AA50" si="0">Z3/100</f>
        <v>0.1439</v>
      </c>
    </row>
    <row r="4" spans="1:27" s="1" customFormat="1" x14ac:dyDescent="0.3">
      <c r="A4" s="18">
        <v>48</v>
      </c>
      <c r="B4" s="20">
        <v>9.7900000000000001E-2</v>
      </c>
      <c r="C4" s="20">
        <v>0.1447</v>
      </c>
      <c r="D4" s="20">
        <v>2.5398999999999998</v>
      </c>
      <c r="E4" s="20">
        <v>6.3246000000000002</v>
      </c>
      <c r="F4" s="20">
        <v>7.51E-2</v>
      </c>
      <c r="G4" s="20">
        <v>0.1142</v>
      </c>
      <c r="H4" s="19"/>
      <c r="I4" s="20">
        <v>0.28660000000000002</v>
      </c>
      <c r="J4" s="19">
        <v>1.76</v>
      </c>
      <c r="K4" s="19">
        <v>3.66</v>
      </c>
      <c r="L4" s="19">
        <v>6.18</v>
      </c>
      <c r="M4" s="19">
        <v>12.79</v>
      </c>
      <c r="N4" s="19">
        <v>13.94</v>
      </c>
      <c r="O4" s="19">
        <v>44.75</v>
      </c>
      <c r="P4" s="19">
        <v>57.98</v>
      </c>
      <c r="Q4" s="19">
        <v>50.02</v>
      </c>
      <c r="R4" s="20">
        <v>0.2989</v>
      </c>
      <c r="S4" s="20">
        <v>0.2858</v>
      </c>
      <c r="T4" s="19"/>
      <c r="U4" s="19"/>
      <c r="V4" s="19"/>
      <c r="W4" s="21">
        <v>48</v>
      </c>
      <c r="Z4" s="110">
        <v>14.47</v>
      </c>
      <c r="AA4" s="110">
        <f t="shared" si="0"/>
        <v>0.1447</v>
      </c>
    </row>
    <row r="5" spans="1:27" s="1" customFormat="1" x14ac:dyDescent="0.3">
      <c r="A5" s="18">
        <v>47</v>
      </c>
      <c r="B5" s="20">
        <v>9.8299999999999998E-2</v>
      </c>
      <c r="C5" s="20">
        <v>0.14550000000000002</v>
      </c>
      <c r="D5" s="20">
        <v>2.5566</v>
      </c>
      <c r="E5" s="20">
        <v>6.3963999999999999</v>
      </c>
      <c r="F5" s="20">
        <v>7.5899999999999995E-2</v>
      </c>
      <c r="G5" s="20">
        <v>0.1154</v>
      </c>
      <c r="H5" s="19"/>
      <c r="I5" s="20">
        <v>0.29110000000000003</v>
      </c>
      <c r="J5" s="19">
        <v>1.74</v>
      </c>
      <c r="K5" s="19">
        <v>3.54</v>
      </c>
      <c r="L5" s="19">
        <v>5.99</v>
      </c>
      <c r="M5" s="19">
        <v>12.52</v>
      </c>
      <c r="N5" s="19">
        <v>13.3</v>
      </c>
      <c r="O5" s="19">
        <v>42.64</v>
      </c>
      <c r="P5" s="19">
        <v>55.66</v>
      </c>
      <c r="Q5" s="19">
        <v>46.15</v>
      </c>
      <c r="R5" s="20">
        <v>0.30030000000000001</v>
      </c>
      <c r="S5" s="20">
        <v>0.2863</v>
      </c>
      <c r="T5" s="19"/>
      <c r="U5" s="19"/>
      <c r="V5" s="19"/>
      <c r="W5" s="21">
        <v>47</v>
      </c>
      <c r="Z5" s="110">
        <v>14.55</v>
      </c>
      <c r="AA5" s="110">
        <f t="shared" si="0"/>
        <v>0.14550000000000002</v>
      </c>
    </row>
    <row r="6" spans="1:27" s="1" customFormat="1" x14ac:dyDescent="0.3">
      <c r="A6" s="18">
        <v>46</v>
      </c>
      <c r="B6" s="20">
        <v>9.8699999999999996E-2</v>
      </c>
      <c r="C6" s="20">
        <v>0.1464</v>
      </c>
      <c r="D6" s="20">
        <v>2.5733000000000001</v>
      </c>
      <c r="E6" s="20">
        <v>6.4682000000000004</v>
      </c>
      <c r="F6" s="20">
        <v>7.6700000000000004E-2</v>
      </c>
      <c r="G6" s="20">
        <v>0.11650000000000001</v>
      </c>
      <c r="H6" s="19"/>
      <c r="I6" s="20">
        <v>0.29549999999999998</v>
      </c>
      <c r="J6" s="19">
        <v>1.72</v>
      </c>
      <c r="K6" s="19">
        <v>3.42</v>
      </c>
      <c r="L6" s="19">
        <v>5.79</v>
      </c>
      <c r="M6" s="19">
        <v>12.26</v>
      </c>
      <c r="N6" s="19">
        <v>12.65</v>
      </c>
      <c r="O6" s="19">
        <v>40.520000000000003</v>
      </c>
      <c r="P6" s="19">
        <v>53.33</v>
      </c>
      <c r="Q6" s="19">
        <v>42.27</v>
      </c>
      <c r="R6" s="20">
        <v>0.30159999999999998</v>
      </c>
      <c r="S6" s="20">
        <v>0.28670000000000001</v>
      </c>
      <c r="T6" s="19"/>
      <c r="U6" s="19"/>
      <c r="V6" s="19"/>
      <c r="W6" s="21">
        <v>46</v>
      </c>
      <c r="Z6" s="110">
        <v>14.64</v>
      </c>
      <c r="AA6" s="110">
        <f t="shared" si="0"/>
        <v>0.1464</v>
      </c>
    </row>
    <row r="7" spans="1:27" s="1" customFormat="1" x14ac:dyDescent="0.3">
      <c r="A7" s="22">
        <v>45</v>
      </c>
      <c r="B7" s="24">
        <v>9.9099999999999994E-2</v>
      </c>
      <c r="C7" s="24">
        <v>0.14730000000000001</v>
      </c>
      <c r="D7" s="24">
        <v>2.59</v>
      </c>
      <c r="E7" s="24">
        <v>6.54</v>
      </c>
      <c r="F7" s="24">
        <v>7.7499999999999999E-2</v>
      </c>
      <c r="G7" s="24">
        <v>0.1177</v>
      </c>
      <c r="H7" s="23"/>
      <c r="I7" s="24">
        <v>0.3</v>
      </c>
      <c r="J7" s="23">
        <v>1.7</v>
      </c>
      <c r="K7" s="23">
        <v>3.3</v>
      </c>
      <c r="L7" s="23">
        <v>5.6</v>
      </c>
      <c r="M7" s="23">
        <v>12</v>
      </c>
      <c r="N7" s="23">
        <v>12</v>
      </c>
      <c r="O7" s="23">
        <v>38.4</v>
      </c>
      <c r="P7" s="23">
        <v>51</v>
      </c>
      <c r="Q7" s="23">
        <v>38.4</v>
      </c>
      <c r="R7" s="24">
        <v>0.30299999999999999</v>
      </c>
      <c r="S7" s="24">
        <v>0.28710000000000002</v>
      </c>
      <c r="T7" s="23"/>
      <c r="U7" s="23"/>
      <c r="V7" s="23"/>
      <c r="W7" s="25">
        <v>45</v>
      </c>
      <c r="Z7" s="110">
        <v>14.73</v>
      </c>
      <c r="AA7" s="110">
        <f t="shared" si="0"/>
        <v>0.14730000000000001</v>
      </c>
    </row>
    <row r="8" spans="1:27" s="1" customFormat="1" x14ac:dyDescent="0.3">
      <c r="A8" s="18">
        <v>44</v>
      </c>
      <c r="B8" s="20">
        <v>9.98E-2</v>
      </c>
      <c r="C8" s="20">
        <v>0.14829999999999999</v>
      </c>
      <c r="D8" s="20">
        <v>3.0091999999999999</v>
      </c>
      <c r="E8" s="20">
        <v>7.0144000000000002</v>
      </c>
      <c r="F8" s="20">
        <v>7.8299999999999995E-2</v>
      </c>
      <c r="G8" s="20">
        <v>0.1191</v>
      </c>
      <c r="H8" s="19"/>
      <c r="I8" s="20">
        <v>0.3024</v>
      </c>
      <c r="J8" s="19">
        <v>1.68</v>
      </c>
      <c r="K8" s="19">
        <v>3.25</v>
      </c>
      <c r="L8" s="19">
        <v>5.53</v>
      </c>
      <c r="M8" s="19">
        <v>11.87</v>
      </c>
      <c r="N8" s="19">
        <v>11.79</v>
      </c>
      <c r="O8" s="19">
        <v>37.54</v>
      </c>
      <c r="P8" s="19">
        <v>49.78</v>
      </c>
      <c r="Q8" s="19">
        <v>37.479999999999997</v>
      </c>
      <c r="R8" s="20">
        <v>0.30430000000000001</v>
      </c>
      <c r="S8" s="20">
        <v>0.28839999999999999</v>
      </c>
      <c r="T8" s="19"/>
      <c r="U8" s="19"/>
      <c r="V8" s="19"/>
      <c r="W8" s="21">
        <v>44</v>
      </c>
      <c r="Z8" s="110">
        <v>14.83</v>
      </c>
      <c r="AA8" s="110">
        <f t="shared" si="0"/>
        <v>0.14829999999999999</v>
      </c>
    </row>
    <row r="9" spans="1:27" s="1" customFormat="1" x14ac:dyDescent="0.3">
      <c r="A9" s="18">
        <v>43</v>
      </c>
      <c r="B9" s="20">
        <v>0.10050000000000001</v>
      </c>
      <c r="C9" s="20">
        <v>0.14929999999999999</v>
      </c>
      <c r="D9" s="20">
        <v>3.0284</v>
      </c>
      <c r="E9" s="20">
        <v>7.0888</v>
      </c>
      <c r="F9" s="65">
        <v>7.9100000000000004E-2</v>
      </c>
      <c r="G9" s="20">
        <v>0.12039999999999999</v>
      </c>
      <c r="H9" s="19"/>
      <c r="I9" s="20">
        <v>0.3049</v>
      </c>
      <c r="J9" s="19">
        <v>1.66</v>
      </c>
      <c r="K9" s="19">
        <v>3.2</v>
      </c>
      <c r="L9" s="19">
        <v>5.46</v>
      </c>
      <c r="M9" s="19">
        <v>11.74</v>
      </c>
      <c r="N9" s="19">
        <v>11.58</v>
      </c>
      <c r="O9" s="19">
        <v>36.69</v>
      </c>
      <c r="P9" s="19">
        <v>48.56</v>
      </c>
      <c r="Q9" s="19">
        <v>36.549999999999997</v>
      </c>
      <c r="R9" s="20">
        <v>0.30559999999999998</v>
      </c>
      <c r="S9" s="20">
        <v>0.28970000000000001</v>
      </c>
      <c r="T9" s="19"/>
      <c r="U9" s="19"/>
      <c r="V9" s="19"/>
      <c r="W9" s="21">
        <v>43</v>
      </c>
      <c r="Z9" s="110">
        <v>14.93</v>
      </c>
      <c r="AA9" s="110">
        <f t="shared" si="0"/>
        <v>0.14929999999999999</v>
      </c>
    </row>
    <row r="10" spans="1:27" s="1" customFormat="1" x14ac:dyDescent="0.3">
      <c r="A10" s="18">
        <v>42</v>
      </c>
      <c r="B10" s="20">
        <v>0.1012</v>
      </c>
      <c r="C10" s="20">
        <v>0.15029999999999999</v>
      </c>
      <c r="D10" s="20">
        <v>3.0476000000000001</v>
      </c>
      <c r="E10" s="20">
        <v>7.1631999999999998</v>
      </c>
      <c r="F10" s="65">
        <v>7.9799999999999996E-2</v>
      </c>
      <c r="G10" s="20">
        <v>0.12180000000000001</v>
      </c>
      <c r="H10" s="19"/>
      <c r="I10" s="20">
        <v>0.30730000000000002</v>
      </c>
      <c r="J10" s="19">
        <v>1.65</v>
      </c>
      <c r="K10" s="19">
        <v>3.16</v>
      </c>
      <c r="L10" s="19">
        <v>5.38</v>
      </c>
      <c r="M10" s="19">
        <v>11.62</v>
      </c>
      <c r="N10" s="19">
        <v>11.36</v>
      </c>
      <c r="O10" s="19">
        <v>35.83</v>
      </c>
      <c r="P10" s="19">
        <v>47.34</v>
      </c>
      <c r="Q10" s="19">
        <v>35.630000000000003</v>
      </c>
      <c r="R10" s="20">
        <v>0.30680000000000002</v>
      </c>
      <c r="S10" s="20">
        <v>0.29099999999999998</v>
      </c>
      <c r="T10" s="19"/>
      <c r="U10" s="19"/>
      <c r="V10" s="19"/>
      <c r="W10" s="21">
        <v>42</v>
      </c>
      <c r="Z10" s="110">
        <v>15.03</v>
      </c>
      <c r="AA10" s="110">
        <f t="shared" si="0"/>
        <v>0.15029999999999999</v>
      </c>
    </row>
    <row r="11" spans="1:27" s="1" customFormat="1" x14ac:dyDescent="0.3">
      <c r="A11" s="18">
        <v>41</v>
      </c>
      <c r="B11" s="20">
        <v>0.1019</v>
      </c>
      <c r="C11" s="20">
        <v>0.15130000000000002</v>
      </c>
      <c r="D11" s="20">
        <v>3.0668000000000002</v>
      </c>
      <c r="E11" s="20">
        <v>7.2375999999999996</v>
      </c>
      <c r="F11" s="65">
        <v>8.0600000000000005E-2</v>
      </c>
      <c r="G11" s="20">
        <v>0.1232</v>
      </c>
      <c r="H11" s="19"/>
      <c r="I11" s="20">
        <v>0.30980000000000002</v>
      </c>
      <c r="J11" s="19">
        <v>1.63</v>
      </c>
      <c r="K11" s="19">
        <v>3.11</v>
      </c>
      <c r="L11" s="19">
        <v>5.31</v>
      </c>
      <c r="M11" s="19">
        <v>11.49</v>
      </c>
      <c r="N11" s="19">
        <v>11.15</v>
      </c>
      <c r="O11" s="19">
        <v>34.979999999999997</v>
      </c>
      <c r="P11" s="19">
        <v>46.12</v>
      </c>
      <c r="Q11" s="19">
        <v>34.700000000000003</v>
      </c>
      <c r="R11" s="20">
        <v>0.30809999999999998</v>
      </c>
      <c r="S11" s="20">
        <v>0.2923</v>
      </c>
      <c r="T11" s="19"/>
      <c r="U11" s="19"/>
      <c r="V11" s="19"/>
      <c r="W11" s="21">
        <v>41</v>
      </c>
      <c r="Z11" s="110">
        <v>15.13</v>
      </c>
      <c r="AA11" s="110">
        <f t="shared" si="0"/>
        <v>0.15130000000000002</v>
      </c>
    </row>
    <row r="12" spans="1:27" s="1" customFormat="1" x14ac:dyDescent="0.3">
      <c r="A12" s="27">
        <v>40</v>
      </c>
      <c r="B12" s="29">
        <v>0.1026</v>
      </c>
      <c r="C12" s="29">
        <v>0.15229999999999999</v>
      </c>
      <c r="D12" s="29">
        <v>3.0859999999999999</v>
      </c>
      <c r="E12" s="29">
        <v>7.3120000000000003</v>
      </c>
      <c r="F12" s="29">
        <v>8.14E-2</v>
      </c>
      <c r="G12" s="29">
        <v>0.1246</v>
      </c>
      <c r="H12" s="28"/>
      <c r="I12" s="29">
        <v>0.31219999999999998</v>
      </c>
      <c r="J12" s="28">
        <v>1.61</v>
      </c>
      <c r="K12" s="28">
        <v>3.06</v>
      </c>
      <c r="L12" s="28">
        <v>5.24</v>
      </c>
      <c r="M12" s="28">
        <v>11.36</v>
      </c>
      <c r="N12" s="28">
        <v>10.94</v>
      </c>
      <c r="O12" s="28">
        <v>34.119999999999997</v>
      </c>
      <c r="P12" s="28">
        <v>44.9</v>
      </c>
      <c r="Q12" s="28">
        <v>33.78</v>
      </c>
      <c r="R12" s="29">
        <v>0.30940000000000001</v>
      </c>
      <c r="S12" s="29">
        <v>0.29349999999999998</v>
      </c>
      <c r="T12" s="30"/>
      <c r="U12" s="30"/>
      <c r="V12" s="28"/>
      <c r="W12" s="31">
        <v>40</v>
      </c>
      <c r="Z12" s="110">
        <v>15.23</v>
      </c>
      <c r="AA12" s="110">
        <f t="shared" si="0"/>
        <v>0.15229999999999999</v>
      </c>
    </row>
    <row r="13" spans="1:27" s="1" customFormat="1" x14ac:dyDescent="0.3">
      <c r="A13" s="18">
        <v>39</v>
      </c>
      <c r="B13" s="20">
        <v>0.1033</v>
      </c>
      <c r="C13" s="20">
        <v>0.15340000000000001</v>
      </c>
      <c r="D13" s="20">
        <v>3.1052</v>
      </c>
      <c r="E13" s="20">
        <v>7.3864000000000001</v>
      </c>
      <c r="F13" s="65">
        <v>8.2199999999999995E-2</v>
      </c>
      <c r="G13" s="20">
        <v>0.12590000000000001</v>
      </c>
      <c r="H13" s="19"/>
      <c r="I13" s="20">
        <v>0.31459999999999999</v>
      </c>
      <c r="J13" s="19">
        <v>1.59</v>
      </c>
      <c r="K13" s="19">
        <v>3.01</v>
      </c>
      <c r="L13" s="19">
        <v>5.17</v>
      </c>
      <c r="M13" s="19">
        <v>11.23</v>
      </c>
      <c r="N13" s="19">
        <v>10.73</v>
      </c>
      <c r="O13" s="19">
        <v>33.26</v>
      </c>
      <c r="P13" s="19">
        <v>43.68</v>
      </c>
      <c r="Q13" s="19">
        <v>32.86</v>
      </c>
      <c r="R13" s="20">
        <v>0.31069999999999998</v>
      </c>
      <c r="S13" s="20">
        <v>0.29480000000000001</v>
      </c>
      <c r="T13" s="19"/>
      <c r="U13" s="19"/>
      <c r="V13" s="19"/>
      <c r="W13" s="21">
        <v>39</v>
      </c>
      <c r="Z13" s="110">
        <v>15.34</v>
      </c>
      <c r="AA13" s="110">
        <f t="shared" si="0"/>
        <v>0.15340000000000001</v>
      </c>
    </row>
    <row r="14" spans="1:27" s="1" customFormat="1" x14ac:dyDescent="0.3">
      <c r="A14" s="18">
        <v>38</v>
      </c>
      <c r="B14" s="20">
        <v>0.104</v>
      </c>
      <c r="C14" s="20">
        <v>0.1547</v>
      </c>
      <c r="D14" s="20">
        <v>3.1244000000000001</v>
      </c>
      <c r="E14" s="20">
        <v>7.4607999999999999</v>
      </c>
      <c r="F14" s="65">
        <v>8.3000000000000004E-2</v>
      </c>
      <c r="G14" s="20">
        <v>0.1273</v>
      </c>
      <c r="H14" s="19"/>
      <c r="I14" s="20">
        <v>0.31709999999999999</v>
      </c>
      <c r="J14" s="19">
        <v>1.58</v>
      </c>
      <c r="K14" s="19">
        <v>2.96</v>
      </c>
      <c r="L14" s="19">
        <v>5.0999999999999996</v>
      </c>
      <c r="M14" s="19">
        <v>11.1</v>
      </c>
      <c r="N14" s="19">
        <v>10.52</v>
      </c>
      <c r="O14" s="19">
        <v>32.409999999999997</v>
      </c>
      <c r="P14" s="19">
        <v>42.46</v>
      </c>
      <c r="Q14" s="19">
        <v>31.93</v>
      </c>
      <c r="R14" s="20">
        <v>0.312</v>
      </c>
      <c r="S14" s="20">
        <v>0.29609999999999997</v>
      </c>
      <c r="T14" s="19"/>
      <c r="U14" s="19"/>
      <c r="V14" s="19"/>
      <c r="W14" s="21">
        <v>38</v>
      </c>
      <c r="Z14" s="110">
        <v>15.47</v>
      </c>
      <c r="AA14" s="110">
        <f t="shared" si="0"/>
        <v>0.1547</v>
      </c>
    </row>
    <row r="15" spans="1:27" s="1" customFormat="1" x14ac:dyDescent="0.3">
      <c r="A15" s="18">
        <v>37</v>
      </c>
      <c r="B15" s="20">
        <v>0.1047</v>
      </c>
      <c r="C15" s="20">
        <v>0.156</v>
      </c>
      <c r="D15" s="20">
        <v>3.1436000000000002</v>
      </c>
      <c r="E15" s="20">
        <v>7.5351999999999997</v>
      </c>
      <c r="F15" s="65">
        <v>8.3699999999999997E-2</v>
      </c>
      <c r="G15" s="20">
        <v>0.12870000000000001</v>
      </c>
      <c r="H15" s="19"/>
      <c r="I15" s="20">
        <v>0.31950000000000001</v>
      </c>
      <c r="J15" s="19">
        <v>1.56</v>
      </c>
      <c r="K15" s="19">
        <v>2.92</v>
      </c>
      <c r="L15" s="19">
        <v>5.0199999999999996</v>
      </c>
      <c r="M15" s="19">
        <v>10.98</v>
      </c>
      <c r="N15" s="19">
        <v>10.3</v>
      </c>
      <c r="O15" s="19">
        <v>31.55</v>
      </c>
      <c r="P15" s="19">
        <v>41.24</v>
      </c>
      <c r="Q15" s="19">
        <v>31.01</v>
      </c>
      <c r="R15" s="20">
        <v>0.31319999999999998</v>
      </c>
      <c r="S15" s="20">
        <v>0.2974</v>
      </c>
      <c r="T15" s="19"/>
      <c r="U15" s="19"/>
      <c r="V15" s="19"/>
      <c r="W15" s="21">
        <v>37</v>
      </c>
      <c r="Z15" s="110">
        <v>15.6</v>
      </c>
      <c r="AA15" s="110">
        <f t="shared" si="0"/>
        <v>0.156</v>
      </c>
    </row>
    <row r="16" spans="1:27" s="1" customFormat="1" x14ac:dyDescent="0.3">
      <c r="A16" s="18">
        <v>36</v>
      </c>
      <c r="B16" s="20">
        <v>0.10539999999999999</v>
      </c>
      <c r="C16" s="20">
        <v>0.1573</v>
      </c>
      <c r="D16" s="20">
        <v>3.1627999999999998</v>
      </c>
      <c r="E16" s="20">
        <v>8.0096000000000007</v>
      </c>
      <c r="F16" s="65">
        <v>8.4500000000000006E-2</v>
      </c>
      <c r="G16" s="20">
        <v>0.13</v>
      </c>
      <c r="H16" s="19"/>
      <c r="I16" s="20">
        <v>0.32200000000000001</v>
      </c>
      <c r="J16" s="19">
        <v>1.54</v>
      </c>
      <c r="K16" s="19">
        <v>2.87</v>
      </c>
      <c r="L16" s="19">
        <v>4.95</v>
      </c>
      <c r="M16" s="19">
        <v>10.85</v>
      </c>
      <c r="N16" s="19">
        <v>10.09</v>
      </c>
      <c r="O16" s="19">
        <v>30.7</v>
      </c>
      <c r="P16" s="19">
        <v>40.020000000000003</v>
      </c>
      <c r="Q16" s="19">
        <v>30.08</v>
      </c>
      <c r="R16" s="20">
        <v>0.3145</v>
      </c>
      <c r="S16" s="20">
        <v>0.29870000000000002</v>
      </c>
      <c r="T16" s="19"/>
      <c r="U16" s="19"/>
      <c r="V16" s="19"/>
      <c r="W16" s="21">
        <v>36</v>
      </c>
      <c r="Z16" s="110">
        <v>15.73</v>
      </c>
      <c r="AA16" s="110">
        <f t="shared" si="0"/>
        <v>0.1573</v>
      </c>
    </row>
    <row r="17" spans="1:27" s="1" customFormat="1" x14ac:dyDescent="0.3">
      <c r="A17" s="22">
        <v>35</v>
      </c>
      <c r="B17" s="24">
        <v>0.1061</v>
      </c>
      <c r="C17" s="24">
        <v>0.15859999999999999</v>
      </c>
      <c r="D17" s="24">
        <v>3.1819999999999999</v>
      </c>
      <c r="E17" s="24">
        <v>8.0839999999999996</v>
      </c>
      <c r="F17" s="24">
        <v>8.5300000000000001E-2</v>
      </c>
      <c r="G17" s="24">
        <v>0.13139999999999999</v>
      </c>
      <c r="H17" s="23"/>
      <c r="I17" s="24">
        <v>0.32440000000000002</v>
      </c>
      <c r="J17" s="23">
        <v>1.52</v>
      </c>
      <c r="K17" s="23">
        <v>2.82</v>
      </c>
      <c r="L17" s="23">
        <v>4.88</v>
      </c>
      <c r="M17" s="23">
        <v>10.72</v>
      </c>
      <c r="N17" s="23">
        <v>9.8800000000000008</v>
      </c>
      <c r="O17" s="23">
        <v>29.84</v>
      </c>
      <c r="P17" s="23">
        <v>38.799999999999997</v>
      </c>
      <c r="Q17" s="23">
        <v>29.16</v>
      </c>
      <c r="R17" s="24">
        <v>0.31580000000000003</v>
      </c>
      <c r="S17" s="24">
        <v>0.3</v>
      </c>
      <c r="T17" s="23"/>
      <c r="U17" s="23"/>
      <c r="V17" s="23"/>
      <c r="W17" s="25">
        <v>35</v>
      </c>
      <c r="Z17" s="110">
        <v>15.86</v>
      </c>
      <c r="AA17" s="110">
        <f t="shared" si="0"/>
        <v>0.15859999999999999</v>
      </c>
    </row>
    <row r="18" spans="1:27" s="1" customFormat="1" x14ac:dyDescent="0.3">
      <c r="A18" s="18">
        <v>34</v>
      </c>
      <c r="B18" s="20">
        <v>0.10680000000000001</v>
      </c>
      <c r="C18" s="20">
        <v>0.15990000000000001</v>
      </c>
      <c r="D18" s="20">
        <v>3.2012</v>
      </c>
      <c r="E18" s="20">
        <v>8.1584000000000003</v>
      </c>
      <c r="F18" s="65">
        <v>8.6099999999999996E-2</v>
      </c>
      <c r="G18" s="20">
        <v>0.1328</v>
      </c>
      <c r="H18" s="19"/>
      <c r="I18" s="20">
        <v>0.32679999999999998</v>
      </c>
      <c r="J18" s="19">
        <v>1.51</v>
      </c>
      <c r="K18" s="19">
        <v>2.77</v>
      </c>
      <c r="L18" s="19">
        <v>4.8099999999999996</v>
      </c>
      <c r="M18" s="19">
        <v>10.59</v>
      </c>
      <c r="N18" s="19">
        <v>9.67</v>
      </c>
      <c r="O18" s="19">
        <v>28.98</v>
      </c>
      <c r="P18" s="19">
        <v>37.58</v>
      </c>
      <c r="Q18" s="19">
        <v>28.24</v>
      </c>
      <c r="R18" s="20">
        <v>0.31709999999999999</v>
      </c>
      <c r="S18" s="20">
        <v>0.30130000000000001</v>
      </c>
      <c r="T18" s="19"/>
      <c r="U18" s="19"/>
      <c r="V18" s="19"/>
      <c r="W18" s="21">
        <v>34</v>
      </c>
      <c r="Z18" s="110">
        <v>15.99</v>
      </c>
      <c r="AA18" s="110">
        <f t="shared" si="0"/>
        <v>0.15990000000000001</v>
      </c>
    </row>
    <row r="19" spans="1:27" s="1" customFormat="1" x14ac:dyDescent="0.3">
      <c r="A19" s="18">
        <v>33</v>
      </c>
      <c r="B19" s="20">
        <v>0.1075</v>
      </c>
      <c r="C19" s="20">
        <v>0.16120000000000001</v>
      </c>
      <c r="D19" s="20">
        <v>3.2204000000000002</v>
      </c>
      <c r="E19" s="20">
        <v>8.2327999999999992</v>
      </c>
      <c r="F19" s="65">
        <v>8.6900000000000005E-2</v>
      </c>
      <c r="G19" s="20">
        <v>0.13420000000000001</v>
      </c>
      <c r="H19" s="19"/>
      <c r="I19" s="20">
        <v>0.32929999999999998</v>
      </c>
      <c r="J19" s="19">
        <v>1.49</v>
      </c>
      <c r="K19" s="19">
        <v>2.72</v>
      </c>
      <c r="L19" s="19">
        <v>4.74</v>
      </c>
      <c r="M19" s="19">
        <v>10.46</v>
      </c>
      <c r="N19" s="19">
        <v>9.4600000000000009</v>
      </c>
      <c r="O19" s="19">
        <v>28.13</v>
      </c>
      <c r="P19" s="19">
        <v>36.36</v>
      </c>
      <c r="Q19" s="19">
        <v>27.31</v>
      </c>
      <c r="R19" s="20">
        <v>0.31840000000000002</v>
      </c>
      <c r="S19" s="20">
        <v>0.30259999999999998</v>
      </c>
      <c r="T19" s="19"/>
      <c r="U19" s="19"/>
      <c r="V19" s="19"/>
      <c r="W19" s="21">
        <v>33</v>
      </c>
      <c r="Z19" s="110">
        <v>16.12</v>
      </c>
      <c r="AA19" s="110">
        <f t="shared" si="0"/>
        <v>0.16120000000000001</v>
      </c>
    </row>
    <row r="20" spans="1:27" s="1" customFormat="1" x14ac:dyDescent="0.3">
      <c r="A20" s="18">
        <v>32</v>
      </c>
      <c r="B20" s="20">
        <v>0.10829999999999999</v>
      </c>
      <c r="C20" s="20">
        <v>0.16239999999999999</v>
      </c>
      <c r="D20" s="20">
        <v>3.2395999999999998</v>
      </c>
      <c r="E20" s="20">
        <v>8.3071999999999999</v>
      </c>
      <c r="F20" s="65">
        <v>8.7599999999999997E-2</v>
      </c>
      <c r="G20" s="20">
        <v>0.13550000000000001</v>
      </c>
      <c r="H20" s="19"/>
      <c r="I20" s="20">
        <v>0.33169999999999999</v>
      </c>
      <c r="J20" s="19">
        <v>1.47</v>
      </c>
      <c r="K20" s="19">
        <v>2.68</v>
      </c>
      <c r="L20" s="19">
        <v>4.66</v>
      </c>
      <c r="M20" s="19">
        <v>10.34</v>
      </c>
      <c r="N20" s="19">
        <v>9.24</v>
      </c>
      <c r="O20" s="19">
        <v>27.27</v>
      </c>
      <c r="P20" s="19">
        <v>35.14</v>
      </c>
      <c r="Q20" s="19">
        <v>26.39</v>
      </c>
      <c r="R20" s="20">
        <v>0.3196</v>
      </c>
      <c r="S20" s="20">
        <v>0.30380000000000001</v>
      </c>
      <c r="T20" s="19"/>
      <c r="U20" s="19"/>
      <c r="V20" s="19"/>
      <c r="W20" s="21">
        <v>32</v>
      </c>
      <c r="Z20" s="110">
        <v>16.239999999999998</v>
      </c>
      <c r="AA20" s="110">
        <f t="shared" si="0"/>
        <v>0.16239999999999999</v>
      </c>
    </row>
    <row r="21" spans="1:27" s="1" customFormat="1" x14ac:dyDescent="0.3">
      <c r="A21" s="18">
        <v>31</v>
      </c>
      <c r="B21" s="20">
        <v>0.109</v>
      </c>
      <c r="C21" s="20">
        <v>0.16370000000000001</v>
      </c>
      <c r="D21" s="20">
        <v>3.2587999999999999</v>
      </c>
      <c r="E21" s="20">
        <v>8.3816000000000006</v>
      </c>
      <c r="F21" s="65">
        <v>8.8400000000000006E-2</v>
      </c>
      <c r="G21" s="20">
        <v>0.13689999999999999</v>
      </c>
      <c r="H21" s="19"/>
      <c r="I21" s="20">
        <v>0.3342</v>
      </c>
      <c r="J21" s="19">
        <v>1.45</v>
      </c>
      <c r="K21" s="19">
        <v>2.63</v>
      </c>
      <c r="L21" s="19">
        <v>4.59</v>
      </c>
      <c r="M21" s="19">
        <v>10.210000000000001</v>
      </c>
      <c r="N21" s="19">
        <v>9.0299999999999994</v>
      </c>
      <c r="O21" s="19">
        <v>26.42</v>
      </c>
      <c r="P21" s="19">
        <v>33.92</v>
      </c>
      <c r="Q21" s="19">
        <v>25.46</v>
      </c>
      <c r="R21" s="20">
        <v>0.32090000000000002</v>
      </c>
      <c r="S21" s="20">
        <v>0.30509999999999998</v>
      </c>
      <c r="T21" s="19"/>
      <c r="U21" s="19"/>
      <c r="V21" s="19"/>
      <c r="W21" s="21">
        <v>31</v>
      </c>
      <c r="Z21" s="110">
        <v>16.37</v>
      </c>
      <c r="AA21" s="110">
        <f t="shared" si="0"/>
        <v>0.16370000000000001</v>
      </c>
    </row>
    <row r="22" spans="1:27" s="1" customFormat="1" x14ac:dyDescent="0.3">
      <c r="A22" s="27">
        <v>30</v>
      </c>
      <c r="B22" s="29">
        <v>0.10970000000000001</v>
      </c>
      <c r="C22" s="29">
        <v>0.16500000000000001</v>
      </c>
      <c r="D22" s="29">
        <v>3.278</v>
      </c>
      <c r="E22" s="29">
        <v>8.4559999999999995</v>
      </c>
      <c r="F22" s="29">
        <v>8.9200000000000002E-2</v>
      </c>
      <c r="G22" s="29">
        <v>0.13830000000000001</v>
      </c>
      <c r="H22" s="28"/>
      <c r="I22" s="29">
        <v>0.33660000000000001</v>
      </c>
      <c r="J22" s="28">
        <v>1.44</v>
      </c>
      <c r="K22" s="28">
        <v>2.58</v>
      </c>
      <c r="L22" s="28">
        <v>4.5199999999999996</v>
      </c>
      <c r="M22" s="28">
        <v>10.08</v>
      </c>
      <c r="N22" s="28">
        <v>8.82</v>
      </c>
      <c r="O22" s="28">
        <v>25.56</v>
      </c>
      <c r="P22" s="28">
        <v>32.700000000000003</v>
      </c>
      <c r="Q22" s="28">
        <v>24.54</v>
      </c>
      <c r="R22" s="29">
        <v>0.32219999999999999</v>
      </c>
      <c r="S22" s="29">
        <v>0.30640000000000001</v>
      </c>
      <c r="T22" s="28"/>
      <c r="U22" s="28"/>
      <c r="V22" s="28"/>
      <c r="W22" s="31">
        <v>30</v>
      </c>
      <c r="Z22" s="110">
        <v>16.5</v>
      </c>
      <c r="AA22" s="110">
        <f t="shared" si="0"/>
        <v>0.16500000000000001</v>
      </c>
    </row>
    <row r="23" spans="1:27" s="1" customFormat="1" x14ac:dyDescent="0.3">
      <c r="A23" s="18">
        <v>29</v>
      </c>
      <c r="B23" s="20">
        <v>0.1104</v>
      </c>
      <c r="C23" s="20">
        <v>0.16620000000000001</v>
      </c>
      <c r="D23" s="20">
        <v>3.2972000000000001</v>
      </c>
      <c r="E23" s="20">
        <v>8.5304000000000002</v>
      </c>
      <c r="F23" s="65">
        <v>0.09</v>
      </c>
      <c r="G23" s="20">
        <v>0.13969999999999999</v>
      </c>
      <c r="H23" s="19"/>
      <c r="I23" s="20">
        <v>0.33900000000000002</v>
      </c>
      <c r="J23" s="19">
        <v>1.42</v>
      </c>
      <c r="K23" s="19">
        <v>2.5299999999999998</v>
      </c>
      <c r="L23" s="19">
        <v>4.45</v>
      </c>
      <c r="M23" s="19">
        <v>9.9499999999999993</v>
      </c>
      <c r="N23" s="19">
        <v>8.61</v>
      </c>
      <c r="O23" s="19">
        <v>24.7</v>
      </c>
      <c r="P23" s="19">
        <v>31.48</v>
      </c>
      <c r="Q23" s="19">
        <v>23.62</v>
      </c>
      <c r="R23" s="20">
        <v>0.32350000000000001</v>
      </c>
      <c r="S23" s="20">
        <v>0.30769999999999997</v>
      </c>
      <c r="T23" s="19"/>
      <c r="U23" s="19"/>
      <c r="V23" s="19"/>
      <c r="W23" s="21">
        <v>29</v>
      </c>
      <c r="Z23" s="110">
        <v>16.62</v>
      </c>
      <c r="AA23" s="110">
        <f t="shared" si="0"/>
        <v>0.16620000000000001</v>
      </c>
    </row>
    <row r="24" spans="1:27" s="1" customFormat="1" x14ac:dyDescent="0.3">
      <c r="A24" s="18">
        <v>28</v>
      </c>
      <c r="B24" s="20">
        <v>0.1111</v>
      </c>
      <c r="C24" s="20">
        <v>0.16739999999999999</v>
      </c>
      <c r="D24" s="20">
        <v>3.3163999999999998</v>
      </c>
      <c r="E24" s="20">
        <v>9.0047999999999995</v>
      </c>
      <c r="F24" s="65">
        <v>9.0800000000000006E-2</v>
      </c>
      <c r="G24" s="20">
        <v>0.14099999999999999</v>
      </c>
      <c r="H24" s="19"/>
      <c r="I24" s="20">
        <v>0.34150000000000003</v>
      </c>
      <c r="J24" s="19">
        <v>1.4</v>
      </c>
      <c r="K24" s="19">
        <v>2.48</v>
      </c>
      <c r="L24" s="19">
        <v>4.38</v>
      </c>
      <c r="M24" s="19">
        <v>9.82</v>
      </c>
      <c r="N24" s="19">
        <v>8.4</v>
      </c>
      <c r="O24" s="19">
        <v>23.85</v>
      </c>
      <c r="P24" s="19">
        <v>30.26</v>
      </c>
      <c r="Q24" s="19">
        <v>22.69</v>
      </c>
      <c r="R24" s="20">
        <v>0.32479999999999998</v>
      </c>
      <c r="S24" s="20">
        <v>0.309</v>
      </c>
      <c r="T24" s="19"/>
      <c r="U24" s="19"/>
      <c r="V24" s="19"/>
      <c r="W24" s="21">
        <v>28</v>
      </c>
      <c r="Z24" s="110">
        <v>16.739999999999998</v>
      </c>
      <c r="AA24" s="110">
        <f t="shared" si="0"/>
        <v>0.16739999999999999</v>
      </c>
    </row>
    <row r="25" spans="1:27" s="1" customFormat="1" x14ac:dyDescent="0.3">
      <c r="A25" s="18">
        <v>27</v>
      </c>
      <c r="B25" s="20">
        <v>0.1118</v>
      </c>
      <c r="C25" s="20">
        <v>0.16940000000000002</v>
      </c>
      <c r="D25" s="20">
        <v>3.3355999999999999</v>
      </c>
      <c r="E25" s="20">
        <v>9.0792000000000002</v>
      </c>
      <c r="F25" s="65">
        <v>9.1499999999999998E-2</v>
      </c>
      <c r="G25" s="20">
        <v>0.1424</v>
      </c>
      <c r="H25" s="19"/>
      <c r="I25" s="20">
        <v>0.34389999999999998</v>
      </c>
      <c r="J25" s="19">
        <v>1.38</v>
      </c>
      <c r="K25" s="19">
        <v>2.44</v>
      </c>
      <c r="L25" s="19">
        <v>4.3</v>
      </c>
      <c r="M25" s="19">
        <v>9.6999999999999993</v>
      </c>
      <c r="N25" s="19">
        <v>8.18</v>
      </c>
      <c r="O25" s="19">
        <v>22.99</v>
      </c>
      <c r="P25" s="19">
        <v>29.04</v>
      </c>
      <c r="Q25" s="19">
        <v>21.77</v>
      </c>
      <c r="R25" s="20">
        <v>0.32600000000000001</v>
      </c>
      <c r="S25" s="20">
        <v>0.31030000000000002</v>
      </c>
      <c r="T25" s="19"/>
      <c r="U25" s="19"/>
      <c r="V25" s="19"/>
      <c r="W25" s="21">
        <v>27</v>
      </c>
      <c r="Z25" s="110">
        <v>16.940000000000001</v>
      </c>
      <c r="AA25" s="110">
        <f t="shared" si="0"/>
        <v>0.16940000000000002</v>
      </c>
    </row>
    <row r="26" spans="1:27" s="1" customFormat="1" x14ac:dyDescent="0.3">
      <c r="A26" s="18">
        <v>26</v>
      </c>
      <c r="B26" s="20">
        <v>0.1125</v>
      </c>
      <c r="C26" s="20">
        <v>0.1714</v>
      </c>
      <c r="D26" s="20">
        <v>3.3548</v>
      </c>
      <c r="E26" s="20">
        <v>9.1536000000000008</v>
      </c>
      <c r="F26" s="65">
        <v>9.2299999999999993E-2</v>
      </c>
      <c r="G26" s="20">
        <v>0.14380000000000001</v>
      </c>
      <c r="H26" s="19"/>
      <c r="I26" s="20">
        <v>0.34639999999999999</v>
      </c>
      <c r="J26" s="19">
        <v>1.37</v>
      </c>
      <c r="K26" s="19">
        <v>2.39</v>
      </c>
      <c r="L26" s="19">
        <v>4.2300000000000004</v>
      </c>
      <c r="M26" s="19">
        <v>9.57</v>
      </c>
      <c r="N26" s="19">
        <v>7.97</v>
      </c>
      <c r="O26" s="19">
        <v>22.14</v>
      </c>
      <c r="P26" s="19">
        <v>27.82</v>
      </c>
      <c r="Q26" s="19">
        <v>20.84</v>
      </c>
      <c r="R26" s="20">
        <v>0.32729999999999998</v>
      </c>
      <c r="S26" s="20">
        <v>0.31159999999999999</v>
      </c>
      <c r="T26" s="19"/>
      <c r="U26" s="19"/>
      <c r="V26" s="19"/>
      <c r="W26" s="21">
        <v>26</v>
      </c>
      <c r="Z26" s="110">
        <v>17.14</v>
      </c>
      <c r="AA26" s="110">
        <f t="shared" si="0"/>
        <v>0.1714</v>
      </c>
    </row>
    <row r="27" spans="1:27" s="1" customFormat="1" x14ac:dyDescent="0.3">
      <c r="A27" s="22">
        <v>25</v>
      </c>
      <c r="B27" s="24">
        <v>0.1132</v>
      </c>
      <c r="C27" s="24">
        <v>0.1734</v>
      </c>
      <c r="D27" s="24">
        <v>3.3740000000000001</v>
      </c>
      <c r="E27" s="24">
        <v>9.2279999999999998</v>
      </c>
      <c r="F27" s="24">
        <v>9.3100000000000002E-2</v>
      </c>
      <c r="G27" s="24">
        <v>0.14510000000000001</v>
      </c>
      <c r="H27" s="23"/>
      <c r="I27" s="24">
        <v>0.3488</v>
      </c>
      <c r="J27" s="23">
        <v>1.35</v>
      </c>
      <c r="K27" s="23">
        <v>2.34</v>
      </c>
      <c r="L27" s="23">
        <v>4.16</v>
      </c>
      <c r="M27" s="23">
        <v>9.44</v>
      </c>
      <c r="N27" s="23">
        <v>7.76</v>
      </c>
      <c r="O27" s="23">
        <v>21.28</v>
      </c>
      <c r="P27" s="23">
        <v>26.6</v>
      </c>
      <c r="Q27" s="23">
        <v>19.920000000000002</v>
      </c>
      <c r="R27" s="24">
        <v>0.3286</v>
      </c>
      <c r="S27" s="24">
        <v>0.31290000000000001</v>
      </c>
      <c r="T27" s="23"/>
      <c r="U27" s="23"/>
      <c r="V27" s="23"/>
      <c r="W27" s="25">
        <v>25</v>
      </c>
      <c r="Z27" s="110">
        <v>17.34</v>
      </c>
      <c r="AA27" s="110">
        <f t="shared" si="0"/>
        <v>0.1734</v>
      </c>
    </row>
    <row r="28" spans="1:27" s="1" customFormat="1" x14ac:dyDescent="0.3">
      <c r="A28" s="18">
        <v>24</v>
      </c>
      <c r="B28" s="20">
        <v>0.1139</v>
      </c>
      <c r="C28" s="20">
        <v>0.1754</v>
      </c>
      <c r="D28" s="20">
        <v>3.3932000000000002</v>
      </c>
      <c r="E28" s="20">
        <v>9.3024000000000004</v>
      </c>
      <c r="F28" s="65">
        <v>9.3899999999999997E-2</v>
      </c>
      <c r="G28" s="20">
        <v>0.14649999999999999</v>
      </c>
      <c r="H28" s="19"/>
      <c r="I28" s="20">
        <v>0.35120000000000001</v>
      </c>
      <c r="J28" s="19">
        <v>1.33</v>
      </c>
      <c r="K28" s="19">
        <v>2.29</v>
      </c>
      <c r="L28" s="19">
        <v>4.09</v>
      </c>
      <c r="M28" s="19">
        <v>9.31</v>
      </c>
      <c r="N28" s="19">
        <v>7.55</v>
      </c>
      <c r="O28" s="19">
        <v>20.420000000000002</v>
      </c>
      <c r="P28" s="19">
        <v>25.38</v>
      </c>
      <c r="Q28" s="19">
        <v>19</v>
      </c>
      <c r="R28" s="20">
        <v>0.32990000000000003</v>
      </c>
      <c r="S28" s="20">
        <v>0.31409999999999999</v>
      </c>
      <c r="T28" s="19"/>
      <c r="U28" s="19"/>
      <c r="V28" s="19"/>
      <c r="W28" s="21">
        <v>24</v>
      </c>
      <c r="Z28" s="110">
        <v>17.54</v>
      </c>
      <c r="AA28" s="110">
        <f t="shared" si="0"/>
        <v>0.1754</v>
      </c>
    </row>
    <row r="29" spans="1:27" s="1" customFormat="1" x14ac:dyDescent="0.3">
      <c r="A29" s="18">
        <v>23</v>
      </c>
      <c r="B29" s="20">
        <v>0.11459999999999999</v>
      </c>
      <c r="C29" s="20">
        <v>0.17739999999999997</v>
      </c>
      <c r="D29" s="20">
        <v>3.4123999999999999</v>
      </c>
      <c r="E29" s="20">
        <v>9.3767999999999994</v>
      </c>
      <c r="F29" s="65">
        <v>9.4700000000000006E-2</v>
      </c>
      <c r="G29" s="20">
        <v>0.1479</v>
      </c>
      <c r="H29" s="19"/>
      <c r="I29" s="20">
        <v>0.35370000000000001</v>
      </c>
      <c r="J29" s="19">
        <v>1.31</v>
      </c>
      <c r="K29" s="19">
        <v>2.2400000000000002</v>
      </c>
      <c r="L29" s="19">
        <v>4.0199999999999996</v>
      </c>
      <c r="M29" s="19">
        <v>9.18</v>
      </c>
      <c r="N29" s="19">
        <v>7.34</v>
      </c>
      <c r="O29" s="19">
        <v>19.57</v>
      </c>
      <c r="P29" s="19">
        <v>24.16</v>
      </c>
      <c r="Q29" s="19">
        <v>18.07</v>
      </c>
      <c r="R29" s="20">
        <v>0.33119999999999999</v>
      </c>
      <c r="S29" s="20">
        <v>0.31540000000000001</v>
      </c>
      <c r="T29" s="19"/>
      <c r="U29" s="19"/>
      <c r="V29" s="19"/>
      <c r="W29" s="21">
        <v>23</v>
      </c>
      <c r="Z29" s="110">
        <v>17.739999999999998</v>
      </c>
      <c r="AA29" s="110">
        <f t="shared" si="0"/>
        <v>0.17739999999999997</v>
      </c>
    </row>
    <row r="30" spans="1:27" s="1" customFormat="1" x14ac:dyDescent="0.3">
      <c r="A30" s="18">
        <v>22</v>
      </c>
      <c r="B30" s="20">
        <v>0.1153</v>
      </c>
      <c r="C30" s="20">
        <v>0.17929999999999999</v>
      </c>
      <c r="D30" s="20">
        <v>3.4316</v>
      </c>
      <c r="E30" s="20">
        <v>9.4512</v>
      </c>
      <c r="F30" s="65">
        <v>9.5399999999999999E-2</v>
      </c>
      <c r="G30" s="20">
        <v>0.14929999999999999</v>
      </c>
      <c r="H30" s="19"/>
      <c r="I30" s="20">
        <v>0.35610000000000003</v>
      </c>
      <c r="J30" s="19">
        <v>1.3</v>
      </c>
      <c r="K30" s="19">
        <v>2.2000000000000002</v>
      </c>
      <c r="L30" s="19">
        <v>3.94</v>
      </c>
      <c r="M30" s="19">
        <v>9.06</v>
      </c>
      <c r="N30" s="19">
        <v>7.12</v>
      </c>
      <c r="O30" s="19">
        <v>18.71</v>
      </c>
      <c r="P30" s="19">
        <v>22.94</v>
      </c>
      <c r="Q30" s="19">
        <v>17.149999999999999</v>
      </c>
      <c r="R30" s="20">
        <v>0.33239999999999997</v>
      </c>
      <c r="S30" s="20">
        <v>0.31669999999999998</v>
      </c>
      <c r="T30" s="19"/>
      <c r="U30" s="19"/>
      <c r="V30" s="19"/>
      <c r="W30" s="21">
        <v>22</v>
      </c>
      <c r="Z30" s="110">
        <v>17.93</v>
      </c>
      <c r="AA30" s="110">
        <f t="shared" si="0"/>
        <v>0.17929999999999999</v>
      </c>
    </row>
    <row r="31" spans="1:27" s="1" customFormat="1" x14ac:dyDescent="0.3">
      <c r="A31" s="18">
        <v>21</v>
      </c>
      <c r="B31" s="20">
        <v>0.11600000000000001</v>
      </c>
      <c r="C31" s="20">
        <v>0.1812</v>
      </c>
      <c r="D31" s="20">
        <v>3.4508000000000001</v>
      </c>
      <c r="E31" s="20">
        <v>9.5256000000000007</v>
      </c>
      <c r="F31" s="65">
        <v>9.6199999999999994E-2</v>
      </c>
      <c r="G31" s="20">
        <v>0.15060000000000001</v>
      </c>
      <c r="H31" s="19"/>
      <c r="I31" s="20">
        <v>0.35859999999999997</v>
      </c>
      <c r="J31" s="19">
        <v>1.28</v>
      </c>
      <c r="K31" s="19">
        <v>2.15</v>
      </c>
      <c r="L31" s="19">
        <v>3.87</v>
      </c>
      <c r="M31" s="19">
        <v>8.93</v>
      </c>
      <c r="N31" s="19">
        <v>6.91</v>
      </c>
      <c r="O31" s="19">
        <v>17.86</v>
      </c>
      <c r="P31" s="19">
        <v>21.72</v>
      </c>
      <c r="Q31" s="19">
        <v>16.22</v>
      </c>
      <c r="R31" s="20">
        <v>0.3337</v>
      </c>
      <c r="S31" s="20">
        <v>0.318</v>
      </c>
      <c r="T31" s="19"/>
      <c r="U31" s="19"/>
      <c r="V31" s="19"/>
      <c r="W31" s="21">
        <v>21</v>
      </c>
      <c r="Z31" s="110">
        <v>18.12</v>
      </c>
      <c r="AA31" s="110">
        <f t="shared" si="0"/>
        <v>0.1812</v>
      </c>
    </row>
    <row r="32" spans="1:27" s="1" customFormat="1" x14ac:dyDescent="0.3">
      <c r="A32" s="27">
        <v>20</v>
      </c>
      <c r="B32" s="29">
        <v>0.1167</v>
      </c>
      <c r="C32" s="29">
        <v>0.18309999999999998</v>
      </c>
      <c r="D32" s="29">
        <v>3.47</v>
      </c>
      <c r="E32" s="29">
        <v>10</v>
      </c>
      <c r="F32" s="29">
        <v>9.7000000000000003E-2</v>
      </c>
      <c r="G32" s="29">
        <v>0.152</v>
      </c>
      <c r="H32" s="28"/>
      <c r="I32" s="29">
        <v>0.36099999999999999</v>
      </c>
      <c r="J32" s="28">
        <v>1.26</v>
      </c>
      <c r="K32" s="28">
        <v>2.1</v>
      </c>
      <c r="L32" s="28">
        <v>3.8</v>
      </c>
      <c r="M32" s="28">
        <v>8.8000000000000007</v>
      </c>
      <c r="N32" s="28">
        <v>6.7</v>
      </c>
      <c r="O32" s="28">
        <v>17</v>
      </c>
      <c r="P32" s="28">
        <v>20.5</v>
      </c>
      <c r="Q32" s="28">
        <v>15.3</v>
      </c>
      <c r="R32" s="29">
        <v>0.33500000000000002</v>
      </c>
      <c r="S32" s="29">
        <v>0.31929999999999997</v>
      </c>
      <c r="T32" s="28"/>
      <c r="U32" s="28"/>
      <c r="V32" s="28"/>
      <c r="W32" s="31">
        <v>20</v>
      </c>
      <c r="Z32" s="110">
        <v>18.309999999999999</v>
      </c>
      <c r="AA32" s="110">
        <f t="shared" si="0"/>
        <v>0.18309999999999998</v>
      </c>
    </row>
    <row r="33" spans="1:27" s="1" customFormat="1" x14ac:dyDescent="0.3">
      <c r="A33" s="18">
        <v>19</v>
      </c>
      <c r="B33" s="20">
        <v>0.11849999999999999</v>
      </c>
      <c r="C33" s="20">
        <v>0.18559999999999999</v>
      </c>
      <c r="D33" s="20">
        <v>3.5211000000000001</v>
      </c>
      <c r="E33" s="20">
        <v>10.044700000000001</v>
      </c>
      <c r="F33" s="65">
        <v>9.98E-2</v>
      </c>
      <c r="G33" s="20">
        <v>0.156</v>
      </c>
      <c r="H33" s="19"/>
      <c r="I33" s="20">
        <v>0.37280000000000002</v>
      </c>
      <c r="J33" s="19">
        <v>1.24</v>
      </c>
      <c r="K33" s="19">
        <v>2.06</v>
      </c>
      <c r="L33" s="19">
        <v>3.72</v>
      </c>
      <c r="M33" s="19">
        <v>8.64</v>
      </c>
      <c r="N33" s="19">
        <v>6.54</v>
      </c>
      <c r="O33" s="19">
        <v>16.52</v>
      </c>
      <c r="P33" s="19">
        <v>19.850000000000001</v>
      </c>
      <c r="Q33" s="19">
        <v>14.81</v>
      </c>
      <c r="R33" s="20">
        <v>0.3387</v>
      </c>
      <c r="S33" s="20">
        <v>0.32200000000000001</v>
      </c>
      <c r="T33" s="19"/>
      <c r="U33" s="19"/>
      <c r="V33" s="19"/>
      <c r="W33" s="21">
        <v>19</v>
      </c>
      <c r="Z33" s="110">
        <v>18.559999999999999</v>
      </c>
      <c r="AA33" s="110">
        <f t="shared" si="0"/>
        <v>0.18559999999999999</v>
      </c>
    </row>
    <row r="34" spans="1:27" s="1" customFormat="1" x14ac:dyDescent="0.3">
      <c r="A34" s="18">
        <v>18</v>
      </c>
      <c r="B34" s="20">
        <v>0.1202</v>
      </c>
      <c r="C34" s="20">
        <v>0.18809999999999999</v>
      </c>
      <c r="D34" s="20">
        <v>3.5720999999999998</v>
      </c>
      <c r="E34" s="20">
        <v>10.089499999999999</v>
      </c>
      <c r="F34" s="65">
        <v>0.1027</v>
      </c>
      <c r="G34" s="20">
        <v>0.16</v>
      </c>
      <c r="H34" s="19"/>
      <c r="I34" s="20">
        <v>0.3846</v>
      </c>
      <c r="J34" s="19">
        <v>1.22</v>
      </c>
      <c r="K34" s="26">
        <v>2.0299999999999998</v>
      </c>
      <c r="L34" s="19">
        <v>3.63</v>
      </c>
      <c r="M34" s="19">
        <v>8.48</v>
      </c>
      <c r="N34" s="19">
        <v>6.38</v>
      </c>
      <c r="O34" s="19">
        <v>16.03</v>
      </c>
      <c r="P34" s="19">
        <v>19.190000000000001</v>
      </c>
      <c r="Q34" s="19">
        <v>14.32</v>
      </c>
      <c r="R34" s="20">
        <v>0.34239999999999998</v>
      </c>
      <c r="S34" s="20">
        <v>0.32469999999999999</v>
      </c>
      <c r="T34" s="19"/>
      <c r="U34" s="19"/>
      <c r="V34" s="19"/>
      <c r="W34" s="21">
        <v>18</v>
      </c>
      <c r="Z34" s="110">
        <v>18.809999999999999</v>
      </c>
      <c r="AA34" s="110">
        <f t="shared" si="0"/>
        <v>0.18809999999999999</v>
      </c>
    </row>
    <row r="35" spans="1:27" s="1" customFormat="1" x14ac:dyDescent="0.3">
      <c r="A35" s="18">
        <v>17</v>
      </c>
      <c r="B35" s="20">
        <v>0.122</v>
      </c>
      <c r="C35" s="20">
        <v>0.19059999999999999</v>
      </c>
      <c r="D35" s="20">
        <v>4.0232000000000001</v>
      </c>
      <c r="E35" s="20">
        <v>10.1342</v>
      </c>
      <c r="F35" s="65">
        <v>0.1055</v>
      </c>
      <c r="G35" s="20">
        <v>0.16400000000000001</v>
      </c>
      <c r="H35" s="19"/>
      <c r="I35" s="20">
        <v>0.39639999999999997</v>
      </c>
      <c r="J35" s="19">
        <v>1.2</v>
      </c>
      <c r="K35" s="26">
        <v>1.99</v>
      </c>
      <c r="L35" s="19">
        <v>3.55</v>
      </c>
      <c r="M35" s="19">
        <v>8.33</v>
      </c>
      <c r="N35" s="19">
        <v>6.23</v>
      </c>
      <c r="O35" s="19">
        <v>15.55</v>
      </c>
      <c r="P35" s="19">
        <v>18.54</v>
      </c>
      <c r="Q35" s="19">
        <v>13.83</v>
      </c>
      <c r="R35" s="20">
        <v>0.34610000000000002</v>
      </c>
      <c r="S35" s="20">
        <v>0.32740000000000002</v>
      </c>
      <c r="T35" s="19"/>
      <c r="U35" s="19"/>
      <c r="V35" s="19"/>
      <c r="W35" s="21">
        <v>17</v>
      </c>
      <c r="Z35" s="110">
        <v>19.059999999999999</v>
      </c>
      <c r="AA35" s="110">
        <f t="shared" si="0"/>
        <v>0.19059999999999999</v>
      </c>
    </row>
    <row r="36" spans="1:27" s="1" customFormat="1" x14ac:dyDescent="0.3">
      <c r="A36" s="18">
        <v>16</v>
      </c>
      <c r="B36" s="20">
        <v>0.12379999999999999</v>
      </c>
      <c r="C36" s="20">
        <v>0.1928</v>
      </c>
      <c r="D36" s="20">
        <v>4.0742000000000003</v>
      </c>
      <c r="E36" s="20">
        <v>10.178900000000001</v>
      </c>
      <c r="F36" s="65">
        <v>0.10829999999999999</v>
      </c>
      <c r="G36" s="20">
        <v>0.16800000000000001</v>
      </c>
      <c r="H36" s="19"/>
      <c r="I36" s="20">
        <v>0.40820000000000001</v>
      </c>
      <c r="J36" s="19">
        <v>1.18</v>
      </c>
      <c r="K36" s="26">
        <v>1.95</v>
      </c>
      <c r="L36" s="19">
        <v>3.46</v>
      </c>
      <c r="M36" s="19">
        <v>8.17</v>
      </c>
      <c r="N36" s="19">
        <v>6.07</v>
      </c>
      <c r="O36" s="19">
        <v>15.06</v>
      </c>
      <c r="P36" s="19">
        <v>17.89</v>
      </c>
      <c r="Q36" s="19">
        <v>13.34</v>
      </c>
      <c r="R36" s="20">
        <v>0.34970000000000001</v>
      </c>
      <c r="S36" s="20">
        <v>0.33</v>
      </c>
      <c r="T36" s="19"/>
      <c r="U36" s="19"/>
      <c r="V36" s="19"/>
      <c r="W36" s="21">
        <v>16</v>
      </c>
      <c r="Z36" s="110">
        <v>19.28</v>
      </c>
      <c r="AA36" s="110">
        <f t="shared" si="0"/>
        <v>0.1928</v>
      </c>
    </row>
    <row r="37" spans="1:27" s="1" customFormat="1" x14ac:dyDescent="0.3">
      <c r="A37" s="22">
        <v>15</v>
      </c>
      <c r="B37" s="24">
        <v>0.1255</v>
      </c>
      <c r="C37" s="24">
        <v>0.19510000000000002</v>
      </c>
      <c r="D37" s="24">
        <v>4.1253000000000002</v>
      </c>
      <c r="E37" s="24">
        <v>10.223699999999999</v>
      </c>
      <c r="F37" s="24">
        <v>0.11119999999999999</v>
      </c>
      <c r="G37" s="24">
        <v>0.17199999999999999</v>
      </c>
      <c r="H37" s="23"/>
      <c r="I37" s="24">
        <v>0.4199</v>
      </c>
      <c r="J37" s="23">
        <v>1.1599999999999999</v>
      </c>
      <c r="K37" s="23">
        <v>1.92</v>
      </c>
      <c r="L37" s="23">
        <v>3.38</v>
      </c>
      <c r="M37" s="23">
        <v>8.01</v>
      </c>
      <c r="N37" s="23">
        <v>5.91</v>
      </c>
      <c r="O37" s="23">
        <v>14.58</v>
      </c>
      <c r="P37" s="23">
        <v>17.239999999999998</v>
      </c>
      <c r="Q37" s="23">
        <v>12.85</v>
      </c>
      <c r="R37" s="24">
        <v>0.35339999999999999</v>
      </c>
      <c r="S37" s="24">
        <v>0.3327</v>
      </c>
      <c r="T37" s="23"/>
      <c r="U37" s="23"/>
      <c r="V37" s="23"/>
      <c r="W37" s="25">
        <v>15</v>
      </c>
      <c r="Z37" s="110">
        <v>19.510000000000002</v>
      </c>
      <c r="AA37" s="110">
        <f t="shared" si="0"/>
        <v>0.19510000000000002</v>
      </c>
    </row>
    <row r="38" spans="1:27" s="1" customFormat="1" x14ac:dyDescent="0.3">
      <c r="A38" s="18">
        <v>14</v>
      </c>
      <c r="B38" s="20">
        <v>0.1273</v>
      </c>
      <c r="C38" s="20">
        <v>0.19739999999999999</v>
      </c>
      <c r="D38" s="20">
        <v>4.1763000000000003</v>
      </c>
      <c r="E38" s="20">
        <v>10.2684</v>
      </c>
      <c r="F38" s="65">
        <v>0.114</v>
      </c>
      <c r="G38" s="20">
        <v>0.17599999999999999</v>
      </c>
      <c r="H38" s="19"/>
      <c r="I38" s="20">
        <v>0.43169999999999997</v>
      </c>
      <c r="J38" s="19">
        <v>1.1399999999999999</v>
      </c>
      <c r="K38" s="26">
        <v>1.88</v>
      </c>
      <c r="L38" s="19">
        <v>3.29</v>
      </c>
      <c r="M38" s="19">
        <v>7.85</v>
      </c>
      <c r="N38" s="19">
        <v>5.75</v>
      </c>
      <c r="O38" s="19">
        <v>14.09</v>
      </c>
      <c r="P38" s="19">
        <v>16.579999999999998</v>
      </c>
      <c r="Q38" s="19">
        <v>12.36</v>
      </c>
      <c r="R38" s="20">
        <v>0.35709999999999997</v>
      </c>
      <c r="S38" s="20">
        <v>0.33539999999999998</v>
      </c>
      <c r="T38" s="19"/>
      <c r="U38" s="19"/>
      <c r="V38" s="19"/>
      <c r="W38" s="21">
        <v>14</v>
      </c>
      <c r="Z38" s="110">
        <v>19.739999999999998</v>
      </c>
      <c r="AA38" s="110">
        <f t="shared" si="0"/>
        <v>0.19739999999999999</v>
      </c>
    </row>
    <row r="39" spans="1:27" s="1" customFormat="1" x14ac:dyDescent="0.3">
      <c r="A39" s="18">
        <v>13</v>
      </c>
      <c r="B39" s="20">
        <v>0.129</v>
      </c>
      <c r="C39" s="20">
        <v>0.1996</v>
      </c>
      <c r="D39" s="20">
        <v>4.2274000000000003</v>
      </c>
      <c r="E39" s="20">
        <v>10.3132</v>
      </c>
      <c r="F39" s="65">
        <v>0.1168</v>
      </c>
      <c r="G39" s="20">
        <v>0.18</v>
      </c>
      <c r="H39" s="19"/>
      <c r="I39" s="20">
        <v>0.44350000000000001</v>
      </c>
      <c r="J39" s="19">
        <v>1.1200000000000001</v>
      </c>
      <c r="K39" s="26">
        <v>1.84</v>
      </c>
      <c r="L39" s="19">
        <v>3.21</v>
      </c>
      <c r="M39" s="19">
        <v>7.69</v>
      </c>
      <c r="N39" s="19">
        <v>5.59</v>
      </c>
      <c r="O39" s="19">
        <v>13.61</v>
      </c>
      <c r="P39" s="19">
        <v>15.93</v>
      </c>
      <c r="Q39" s="19">
        <v>11.87</v>
      </c>
      <c r="R39" s="20">
        <v>0.36080000000000001</v>
      </c>
      <c r="S39" s="20">
        <v>0.33810000000000001</v>
      </c>
      <c r="T39" s="19"/>
      <c r="U39" s="19"/>
      <c r="V39" s="19"/>
      <c r="W39" s="21">
        <v>13</v>
      </c>
      <c r="Z39" s="110">
        <v>19.96</v>
      </c>
      <c r="AA39" s="110">
        <f t="shared" si="0"/>
        <v>0.1996</v>
      </c>
    </row>
    <row r="40" spans="1:27" s="1" customFormat="1" x14ac:dyDescent="0.3">
      <c r="A40" s="18">
        <v>12</v>
      </c>
      <c r="B40" s="20">
        <v>0.1308</v>
      </c>
      <c r="C40" s="20">
        <v>0.20190000000000002</v>
      </c>
      <c r="D40" s="20">
        <v>4.2784000000000004</v>
      </c>
      <c r="E40" s="20">
        <v>10.357900000000001</v>
      </c>
      <c r="F40" s="65">
        <v>0.1197</v>
      </c>
      <c r="G40" s="20">
        <v>0.184</v>
      </c>
      <c r="H40" s="19"/>
      <c r="I40" s="20">
        <v>0.45529999999999998</v>
      </c>
      <c r="J40" s="19">
        <v>1.1000000000000001</v>
      </c>
      <c r="K40" s="26">
        <v>1.81</v>
      </c>
      <c r="L40" s="19">
        <v>3.13</v>
      </c>
      <c r="M40" s="19">
        <v>7.54</v>
      </c>
      <c r="N40" s="19">
        <v>5.44</v>
      </c>
      <c r="O40" s="19">
        <v>13.13</v>
      </c>
      <c r="P40" s="19">
        <v>15.28</v>
      </c>
      <c r="Q40" s="19">
        <v>11.38</v>
      </c>
      <c r="R40" s="20">
        <v>0.36449999999999999</v>
      </c>
      <c r="S40" s="20">
        <v>0.34079999999999999</v>
      </c>
      <c r="T40" s="19"/>
      <c r="U40" s="19"/>
      <c r="V40" s="19"/>
      <c r="W40" s="21">
        <v>12</v>
      </c>
      <c r="Z40" s="110">
        <v>20.190000000000001</v>
      </c>
      <c r="AA40" s="110">
        <f t="shared" si="0"/>
        <v>0.20190000000000002</v>
      </c>
    </row>
    <row r="41" spans="1:27" s="1" customFormat="1" x14ac:dyDescent="0.3">
      <c r="A41" s="18">
        <v>11</v>
      </c>
      <c r="B41" s="20">
        <v>0.1326</v>
      </c>
      <c r="C41" s="20">
        <v>0.2041</v>
      </c>
      <c r="D41" s="20">
        <v>4.3295000000000003</v>
      </c>
      <c r="E41" s="20">
        <v>10.4026</v>
      </c>
      <c r="F41" s="65">
        <v>0.1225</v>
      </c>
      <c r="G41" s="20">
        <v>0.188</v>
      </c>
      <c r="H41" s="19"/>
      <c r="I41" s="20">
        <v>0.46710000000000002</v>
      </c>
      <c r="J41" s="19">
        <v>1.08</v>
      </c>
      <c r="K41" s="26">
        <v>1.77</v>
      </c>
      <c r="L41" s="19">
        <v>3.04</v>
      </c>
      <c r="M41" s="19">
        <v>7.38</v>
      </c>
      <c r="N41" s="19">
        <v>5.28</v>
      </c>
      <c r="O41" s="19">
        <v>12.64</v>
      </c>
      <c r="P41" s="19">
        <v>14.63</v>
      </c>
      <c r="Q41" s="19">
        <v>10.89</v>
      </c>
      <c r="R41" s="20">
        <v>0.36820000000000003</v>
      </c>
      <c r="S41" s="20">
        <v>0.34350000000000003</v>
      </c>
      <c r="T41" s="19"/>
      <c r="U41" s="19"/>
      <c r="V41" s="19"/>
      <c r="W41" s="21">
        <v>11</v>
      </c>
      <c r="Z41" s="110">
        <v>20.41</v>
      </c>
      <c r="AA41" s="110">
        <f t="shared" si="0"/>
        <v>0.2041</v>
      </c>
    </row>
    <row r="42" spans="1:27" s="1" customFormat="1" x14ac:dyDescent="0.3">
      <c r="A42" s="27">
        <v>10</v>
      </c>
      <c r="B42" s="29">
        <v>0.1343</v>
      </c>
      <c r="C42" s="29">
        <v>0.20710000000000001</v>
      </c>
      <c r="D42" s="29">
        <v>4.3804999999999996</v>
      </c>
      <c r="E42" s="29">
        <v>10.4474</v>
      </c>
      <c r="F42" s="29">
        <v>0.12529999999999999</v>
      </c>
      <c r="G42" s="29">
        <v>0.192</v>
      </c>
      <c r="H42" s="28"/>
      <c r="I42" s="29">
        <v>0.47889999999999999</v>
      </c>
      <c r="J42" s="28">
        <v>1.07</v>
      </c>
      <c r="K42" s="28">
        <v>1.73</v>
      </c>
      <c r="L42" s="28">
        <v>2.96</v>
      </c>
      <c r="M42" s="28">
        <v>7.22</v>
      </c>
      <c r="N42" s="28">
        <v>5.12</v>
      </c>
      <c r="O42" s="28">
        <v>12.16</v>
      </c>
      <c r="P42" s="28">
        <v>13.97</v>
      </c>
      <c r="Q42" s="28">
        <v>10.41</v>
      </c>
      <c r="R42" s="29">
        <v>0.37180000000000002</v>
      </c>
      <c r="S42" s="29">
        <v>0.34610000000000002</v>
      </c>
      <c r="T42" s="28"/>
      <c r="U42" s="28"/>
      <c r="V42" s="28"/>
      <c r="W42" s="31">
        <v>10</v>
      </c>
      <c r="Z42" s="110">
        <v>20.71</v>
      </c>
      <c r="AA42" s="110">
        <f t="shared" si="0"/>
        <v>0.20710000000000001</v>
      </c>
    </row>
    <row r="43" spans="1:27" s="1" customFormat="1" x14ac:dyDescent="0.3">
      <c r="A43" s="18">
        <v>9</v>
      </c>
      <c r="B43" s="20">
        <v>0.1361</v>
      </c>
      <c r="C43" s="20">
        <v>0.21059999999999998</v>
      </c>
      <c r="D43" s="20">
        <v>4.4316000000000004</v>
      </c>
      <c r="E43" s="20">
        <v>10.492100000000001</v>
      </c>
      <c r="F43" s="65">
        <v>0.12809999999999999</v>
      </c>
      <c r="G43" s="20">
        <v>0.19600000000000001</v>
      </c>
      <c r="H43" s="19"/>
      <c r="I43" s="20">
        <v>0.49070000000000003</v>
      </c>
      <c r="J43" s="19">
        <v>1.05</v>
      </c>
      <c r="K43" s="26">
        <v>1.69</v>
      </c>
      <c r="L43" s="19">
        <v>2.87</v>
      </c>
      <c r="M43" s="19">
        <v>7.06</v>
      </c>
      <c r="N43" s="19">
        <v>4.96</v>
      </c>
      <c r="O43" s="19">
        <v>11.67</v>
      </c>
      <c r="P43" s="19">
        <v>13.32</v>
      </c>
      <c r="Q43" s="19">
        <v>9.92</v>
      </c>
      <c r="R43" s="20">
        <v>0.3755</v>
      </c>
      <c r="S43" s="20">
        <v>0.3488</v>
      </c>
      <c r="T43" s="19"/>
      <c r="U43" s="19"/>
      <c r="V43" s="19"/>
      <c r="W43" s="21">
        <v>9</v>
      </c>
      <c r="Z43" s="110">
        <v>21.06</v>
      </c>
      <c r="AA43" s="110">
        <f t="shared" si="0"/>
        <v>0.21059999999999998</v>
      </c>
    </row>
    <row r="44" spans="1:27" s="1" customFormat="1" x14ac:dyDescent="0.3">
      <c r="A44" s="18">
        <v>8</v>
      </c>
      <c r="B44" s="20">
        <v>0.13789999999999999</v>
      </c>
      <c r="C44" s="20">
        <v>0.214</v>
      </c>
      <c r="D44" s="20">
        <v>4.4825999999999997</v>
      </c>
      <c r="E44" s="20">
        <v>10.536799999999999</v>
      </c>
      <c r="F44" s="65">
        <v>0.13100000000000001</v>
      </c>
      <c r="G44" s="20">
        <v>0.2</v>
      </c>
      <c r="H44" s="19"/>
      <c r="I44" s="20">
        <v>0.50249999999999995</v>
      </c>
      <c r="J44" s="19">
        <v>1.03</v>
      </c>
      <c r="K44" s="26">
        <v>1.66</v>
      </c>
      <c r="L44" s="19">
        <v>2.79</v>
      </c>
      <c r="M44" s="19">
        <v>6.91</v>
      </c>
      <c r="N44" s="19">
        <v>4.8099999999999996</v>
      </c>
      <c r="O44" s="19">
        <v>11.19</v>
      </c>
      <c r="P44" s="19">
        <v>12.67</v>
      </c>
      <c r="Q44" s="19">
        <v>9.43</v>
      </c>
      <c r="R44" s="20">
        <v>0.37919999999999998</v>
      </c>
      <c r="S44" s="20">
        <v>0.35149999999999998</v>
      </c>
      <c r="T44" s="19"/>
      <c r="U44" s="19"/>
      <c r="V44" s="19"/>
      <c r="W44" s="21">
        <v>8</v>
      </c>
      <c r="Z44" s="110">
        <v>21.4</v>
      </c>
      <c r="AA44" s="110">
        <f t="shared" si="0"/>
        <v>0.214</v>
      </c>
    </row>
    <row r="45" spans="1:27" s="1" customFormat="1" x14ac:dyDescent="0.3">
      <c r="A45" s="18">
        <v>7</v>
      </c>
      <c r="B45" s="20">
        <v>0.1396</v>
      </c>
      <c r="C45" s="20">
        <v>0.2175</v>
      </c>
      <c r="D45" s="20">
        <v>4.5336999999999996</v>
      </c>
      <c r="E45" s="20">
        <v>10.5816</v>
      </c>
      <c r="F45" s="65">
        <v>0.1338</v>
      </c>
      <c r="G45" s="20">
        <v>0.20399999999999999</v>
      </c>
      <c r="H45" s="19"/>
      <c r="I45" s="20">
        <v>0.51429999999999998</v>
      </c>
      <c r="J45" s="19">
        <v>1.01</v>
      </c>
      <c r="K45" s="26">
        <v>1.62</v>
      </c>
      <c r="L45" s="19">
        <v>2.71</v>
      </c>
      <c r="M45" s="19">
        <v>6.75</v>
      </c>
      <c r="N45" s="19">
        <v>4.6500000000000004</v>
      </c>
      <c r="O45" s="19">
        <v>10.71</v>
      </c>
      <c r="P45" s="19">
        <v>12.02</v>
      </c>
      <c r="Q45" s="19">
        <v>8.94</v>
      </c>
      <c r="R45" s="20">
        <v>0.38290000000000002</v>
      </c>
      <c r="S45" s="20">
        <v>0.35420000000000001</v>
      </c>
      <c r="T45" s="19"/>
      <c r="U45" s="19"/>
      <c r="V45" s="19"/>
      <c r="W45" s="21">
        <v>7</v>
      </c>
      <c r="Z45" s="110">
        <v>21.75</v>
      </c>
      <c r="AA45" s="110">
        <f t="shared" si="0"/>
        <v>0.2175</v>
      </c>
    </row>
    <row r="46" spans="1:27" s="1" customFormat="1" x14ac:dyDescent="0.3">
      <c r="A46" s="18">
        <v>6</v>
      </c>
      <c r="B46" s="20">
        <v>0.1414</v>
      </c>
      <c r="C46" s="20">
        <v>0.22190000000000001</v>
      </c>
      <c r="D46" s="20">
        <v>4.5846999999999998</v>
      </c>
      <c r="E46" s="20">
        <v>11.026300000000001</v>
      </c>
      <c r="F46" s="65">
        <v>0.1366</v>
      </c>
      <c r="G46" s="20">
        <v>0.20799999999999999</v>
      </c>
      <c r="H46" s="19"/>
      <c r="I46" s="20">
        <v>0.52610000000000001</v>
      </c>
      <c r="J46" s="19">
        <v>0.99</v>
      </c>
      <c r="K46" s="26">
        <v>1.58</v>
      </c>
      <c r="L46" s="19">
        <v>2.62</v>
      </c>
      <c r="M46" s="19">
        <v>6.59</v>
      </c>
      <c r="N46" s="19">
        <v>4.49</v>
      </c>
      <c r="O46" s="19">
        <v>10.220000000000001</v>
      </c>
      <c r="P46" s="19">
        <v>11.36</v>
      </c>
      <c r="Q46" s="19">
        <v>8.4499999999999993</v>
      </c>
      <c r="R46" s="20">
        <v>0.3866</v>
      </c>
      <c r="S46" s="20">
        <v>0.3569</v>
      </c>
      <c r="T46" s="19"/>
      <c r="U46" s="19"/>
      <c r="V46" s="19"/>
      <c r="W46" s="21">
        <v>6</v>
      </c>
      <c r="Z46" s="110">
        <v>22.19</v>
      </c>
      <c r="AA46" s="110">
        <f t="shared" si="0"/>
        <v>0.22190000000000001</v>
      </c>
    </row>
    <row r="47" spans="1:27" s="1" customFormat="1" x14ac:dyDescent="0.3">
      <c r="A47" s="22">
        <v>5</v>
      </c>
      <c r="B47" s="24">
        <v>0.1431</v>
      </c>
      <c r="C47" s="24">
        <v>0.2268</v>
      </c>
      <c r="D47" s="24">
        <v>5.0358000000000001</v>
      </c>
      <c r="E47" s="24">
        <v>11.071099999999999</v>
      </c>
      <c r="F47" s="24">
        <v>0.13950000000000001</v>
      </c>
      <c r="G47" s="24">
        <v>0.21199999999999999</v>
      </c>
      <c r="H47" s="23"/>
      <c r="I47" s="24">
        <v>0.53779999999999994</v>
      </c>
      <c r="J47" s="23">
        <v>0.97</v>
      </c>
      <c r="K47" s="23">
        <v>1.55</v>
      </c>
      <c r="L47" s="23">
        <v>2.54</v>
      </c>
      <c r="M47" s="23">
        <v>6.43</v>
      </c>
      <c r="N47" s="23">
        <v>4.33</v>
      </c>
      <c r="O47" s="23">
        <v>9.74</v>
      </c>
      <c r="P47" s="23">
        <v>10.71</v>
      </c>
      <c r="Q47" s="23">
        <v>7.96</v>
      </c>
      <c r="R47" s="24">
        <v>0.39029999999999998</v>
      </c>
      <c r="S47" s="24">
        <v>0.35959999999999998</v>
      </c>
      <c r="T47" s="23"/>
      <c r="U47" s="23"/>
      <c r="V47" s="23"/>
      <c r="W47" s="25">
        <v>5</v>
      </c>
      <c r="Z47" s="110">
        <v>22.68</v>
      </c>
      <c r="AA47" s="110">
        <f t="shared" si="0"/>
        <v>0.2268</v>
      </c>
    </row>
    <row r="48" spans="1:27" s="1" customFormat="1" x14ac:dyDescent="0.3">
      <c r="A48" s="18">
        <v>4</v>
      </c>
      <c r="B48" s="20">
        <v>0.1449</v>
      </c>
      <c r="C48" s="20">
        <v>0.23269999999999999</v>
      </c>
      <c r="D48" s="20">
        <v>5.0868000000000002</v>
      </c>
      <c r="E48" s="20">
        <v>11.1158</v>
      </c>
      <c r="F48" s="65">
        <v>0.14230000000000001</v>
      </c>
      <c r="G48" s="20">
        <v>0.216</v>
      </c>
      <c r="H48" s="19"/>
      <c r="I48" s="20">
        <v>0.54959999999999998</v>
      </c>
      <c r="J48" s="19">
        <v>0.95</v>
      </c>
      <c r="K48" s="26">
        <v>1.51</v>
      </c>
      <c r="L48" s="19">
        <v>2.4500000000000002</v>
      </c>
      <c r="M48" s="19">
        <v>6.27</v>
      </c>
      <c r="N48" s="19">
        <v>4.17</v>
      </c>
      <c r="O48" s="19">
        <v>9.25</v>
      </c>
      <c r="P48" s="19">
        <v>10.06</v>
      </c>
      <c r="Q48" s="19">
        <v>7.47</v>
      </c>
      <c r="R48" s="20">
        <v>0.39389999999999997</v>
      </c>
      <c r="S48" s="20">
        <v>0.36220000000000002</v>
      </c>
      <c r="T48" s="19"/>
      <c r="U48" s="19"/>
      <c r="V48" s="19"/>
      <c r="W48" s="21">
        <v>4</v>
      </c>
      <c r="Z48" s="110">
        <v>23.27</v>
      </c>
      <c r="AA48" s="110">
        <f t="shared" si="0"/>
        <v>0.23269999999999999</v>
      </c>
    </row>
    <row r="49" spans="1:27" s="1" customFormat="1" x14ac:dyDescent="0.3">
      <c r="A49" s="18">
        <v>3</v>
      </c>
      <c r="B49" s="20">
        <v>0.1467</v>
      </c>
      <c r="C49" s="20">
        <v>0.23860000000000001</v>
      </c>
      <c r="D49" s="20">
        <v>5.1379000000000001</v>
      </c>
      <c r="E49" s="20">
        <v>11.160500000000001</v>
      </c>
      <c r="F49" s="65">
        <v>0.14510000000000001</v>
      </c>
      <c r="G49" s="20">
        <v>0.22</v>
      </c>
      <c r="H49" s="19"/>
      <c r="I49" s="20">
        <v>0.56140000000000001</v>
      </c>
      <c r="J49" s="19">
        <v>0.93</v>
      </c>
      <c r="K49" s="26">
        <v>1.47</v>
      </c>
      <c r="L49" s="19">
        <v>2.37</v>
      </c>
      <c r="M49" s="19">
        <v>6.12</v>
      </c>
      <c r="N49" s="19">
        <v>4.0199999999999996</v>
      </c>
      <c r="O49" s="19">
        <v>8.77</v>
      </c>
      <c r="P49" s="19">
        <v>9.41</v>
      </c>
      <c r="Q49" s="19">
        <v>6.98</v>
      </c>
      <c r="R49" s="20">
        <v>0.39760000000000001</v>
      </c>
      <c r="S49" s="20">
        <v>0.3649</v>
      </c>
      <c r="T49" s="19"/>
      <c r="U49" s="19"/>
      <c r="V49" s="19"/>
      <c r="W49" s="21">
        <v>3</v>
      </c>
      <c r="Z49" s="110">
        <v>23.86</v>
      </c>
      <c r="AA49" s="110">
        <f t="shared" si="0"/>
        <v>0.23860000000000001</v>
      </c>
    </row>
    <row r="50" spans="1:27" s="1" customFormat="1" x14ac:dyDescent="0.3">
      <c r="A50" s="18">
        <v>2</v>
      </c>
      <c r="B50" s="20">
        <v>0.1484</v>
      </c>
      <c r="C50" s="20">
        <v>0.24440000000000001</v>
      </c>
      <c r="D50" s="20">
        <v>5.1889000000000003</v>
      </c>
      <c r="E50" s="20">
        <v>11.205299999999999</v>
      </c>
      <c r="F50" s="65">
        <v>0.14799999999999999</v>
      </c>
      <c r="G50" s="20">
        <v>0.224</v>
      </c>
      <c r="H50" s="19"/>
      <c r="I50" s="20">
        <v>0.57320000000000004</v>
      </c>
      <c r="J50" s="19">
        <v>0.91</v>
      </c>
      <c r="K50" s="26">
        <v>1.44</v>
      </c>
      <c r="L50" s="19">
        <v>2.2799999999999998</v>
      </c>
      <c r="M50" s="19">
        <v>5.96</v>
      </c>
      <c r="N50" s="19">
        <v>3.86</v>
      </c>
      <c r="O50" s="19">
        <v>8.2799999999999994</v>
      </c>
      <c r="P50" s="19">
        <v>8.75</v>
      </c>
      <c r="Q50" s="19">
        <v>6.49</v>
      </c>
      <c r="R50" s="20">
        <v>0.40129999999999999</v>
      </c>
      <c r="S50" s="20">
        <v>0.36759999999999998</v>
      </c>
      <c r="T50" s="19"/>
      <c r="U50" s="19"/>
      <c r="V50" s="19"/>
      <c r="W50" s="21">
        <v>2</v>
      </c>
      <c r="Z50" s="110">
        <v>24.44</v>
      </c>
      <c r="AA50" s="110">
        <f t="shared" si="0"/>
        <v>0.24440000000000001</v>
      </c>
    </row>
    <row r="51" spans="1:27" s="1" customFormat="1" ht="15" thickBot="1" x14ac:dyDescent="0.35">
      <c r="A51" s="32">
        <v>1</v>
      </c>
      <c r="B51" s="227" t="s">
        <v>34</v>
      </c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9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D1" workbookViewId="0">
      <selection activeCell="Q29" sqref="Q2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56</v>
      </c>
      <c r="B1" s="12" t="s">
        <v>64</v>
      </c>
      <c r="C1" s="12" t="s">
        <v>65</v>
      </c>
      <c r="D1" s="12" t="s">
        <v>62</v>
      </c>
      <c r="E1" s="12" t="s">
        <v>63</v>
      </c>
      <c r="F1" s="12"/>
      <c r="G1" s="12" t="s">
        <v>67</v>
      </c>
      <c r="H1" s="12" t="s">
        <v>71</v>
      </c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2"/>
      <c r="U1" s="13"/>
      <c r="V1" s="13"/>
      <c r="W1" s="11" t="s">
        <v>56</v>
      </c>
    </row>
    <row r="2" spans="1:23" x14ac:dyDescent="0.3">
      <c r="A2" s="14">
        <v>50</v>
      </c>
      <c r="B2" s="16">
        <v>8.8400000000000006E-2</v>
      </c>
      <c r="C2" s="16">
        <v>0.1283</v>
      </c>
      <c r="D2" s="16">
        <v>2.3016000000000001</v>
      </c>
      <c r="E2" s="16">
        <v>5.4</v>
      </c>
      <c r="F2" s="16"/>
      <c r="G2" s="16">
        <v>0.1021</v>
      </c>
      <c r="H2" s="16">
        <v>0.1285</v>
      </c>
      <c r="I2" s="16">
        <v>0.25140000000000001</v>
      </c>
      <c r="J2" s="15">
        <v>2.1</v>
      </c>
      <c r="K2" s="15">
        <v>4.8600000000000003</v>
      </c>
      <c r="L2" s="15">
        <v>7.12</v>
      </c>
      <c r="M2" s="15">
        <v>15.74</v>
      </c>
      <c r="N2" s="15">
        <v>19.03</v>
      </c>
      <c r="O2" s="15">
        <v>56.2</v>
      </c>
      <c r="P2" s="15">
        <v>72.400000000000006</v>
      </c>
      <c r="Q2" s="15">
        <v>65.84</v>
      </c>
      <c r="R2" s="16">
        <v>0.26529999999999998</v>
      </c>
      <c r="S2" s="16">
        <v>0.28499999999999998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8.8700000000000001E-2</v>
      </c>
      <c r="C3" s="20">
        <v>0.12889999999999999</v>
      </c>
      <c r="D3" s="20">
        <v>2.3153000000000001</v>
      </c>
      <c r="E3" s="20">
        <v>5.4413999999999998</v>
      </c>
      <c r="F3" s="20"/>
      <c r="G3" s="20">
        <v>0.1032</v>
      </c>
      <c r="H3" s="20">
        <v>0.12970000000000001</v>
      </c>
      <c r="I3" s="20">
        <v>0.25330000000000003</v>
      </c>
      <c r="J3" s="19">
        <v>2.06</v>
      </c>
      <c r="K3" s="19">
        <v>4.6900000000000004</v>
      </c>
      <c r="L3" s="19">
        <v>7.03</v>
      </c>
      <c r="M3" s="19">
        <v>15.32</v>
      </c>
      <c r="N3" s="19">
        <v>18.38</v>
      </c>
      <c r="O3" s="19">
        <v>54.2</v>
      </c>
      <c r="P3" s="19">
        <v>69.92</v>
      </c>
      <c r="Q3" s="19">
        <v>63.67</v>
      </c>
      <c r="R3" s="20">
        <v>0.26740000000000003</v>
      </c>
      <c r="S3" s="20">
        <v>0.28539999999999999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8.8999999999999996E-2</v>
      </c>
      <c r="C4" s="20">
        <v>0.1295</v>
      </c>
      <c r="D4" s="20">
        <v>2.3290000000000002</v>
      </c>
      <c r="E4" s="20">
        <v>5.4827000000000004</v>
      </c>
      <c r="F4" s="20"/>
      <c r="G4" s="20">
        <v>0.1043</v>
      </c>
      <c r="H4" s="20">
        <v>0.13089999999999999</v>
      </c>
      <c r="I4" s="20">
        <v>0.25519999999999998</v>
      </c>
      <c r="J4" s="19">
        <v>2.0299999999999998</v>
      </c>
      <c r="K4" s="19">
        <v>4.5199999999999996</v>
      </c>
      <c r="L4" s="19">
        <v>6.94</v>
      </c>
      <c r="M4" s="19">
        <v>14.9</v>
      </c>
      <c r="N4" s="19">
        <v>17.73</v>
      </c>
      <c r="O4" s="19">
        <v>52.2</v>
      </c>
      <c r="P4" s="19">
        <v>67.44</v>
      </c>
      <c r="Q4" s="19">
        <v>61.5</v>
      </c>
      <c r="R4" s="20">
        <v>0.26950000000000002</v>
      </c>
      <c r="S4" s="20">
        <v>0.2858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8.9300000000000004E-2</v>
      </c>
      <c r="C5" s="20">
        <v>0.13009999999999999</v>
      </c>
      <c r="D5" s="20">
        <v>2.3426</v>
      </c>
      <c r="E5" s="20">
        <v>5.5240999999999998</v>
      </c>
      <c r="F5" s="20"/>
      <c r="G5" s="20">
        <v>0.1055</v>
      </c>
      <c r="H5" s="20">
        <v>0.13200000000000001</v>
      </c>
      <c r="I5" s="20">
        <v>0.25719999999999998</v>
      </c>
      <c r="J5" s="19">
        <v>1.99</v>
      </c>
      <c r="K5" s="19">
        <v>4.34</v>
      </c>
      <c r="L5" s="19">
        <v>6.86</v>
      </c>
      <c r="M5" s="19">
        <v>14.47</v>
      </c>
      <c r="N5" s="19">
        <v>17.09</v>
      </c>
      <c r="O5" s="19">
        <v>50.19</v>
      </c>
      <c r="P5" s="19">
        <v>64.959999999999994</v>
      </c>
      <c r="Q5" s="19">
        <v>59.34</v>
      </c>
      <c r="R5" s="20">
        <v>0.27150000000000002</v>
      </c>
      <c r="S5" s="20">
        <v>0.2863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8.9599999999999999E-2</v>
      </c>
      <c r="C6" s="20">
        <v>0.13070000000000001</v>
      </c>
      <c r="D6" s="20">
        <v>2.3563000000000001</v>
      </c>
      <c r="E6" s="20">
        <v>5.5654000000000003</v>
      </c>
      <c r="F6" s="20"/>
      <c r="G6" s="20">
        <v>0.1066</v>
      </c>
      <c r="H6" s="20">
        <v>0.13320000000000001</v>
      </c>
      <c r="I6" s="20">
        <v>0.2591</v>
      </c>
      <c r="J6" s="19">
        <v>1.96</v>
      </c>
      <c r="K6" s="19">
        <v>4.17</v>
      </c>
      <c r="L6" s="19">
        <v>6.77</v>
      </c>
      <c r="M6" s="19">
        <v>14.05</v>
      </c>
      <c r="N6" s="19">
        <v>16.440000000000001</v>
      </c>
      <c r="O6" s="19">
        <v>48.19</v>
      </c>
      <c r="P6" s="19">
        <v>62.48</v>
      </c>
      <c r="Q6" s="19">
        <v>57.17</v>
      </c>
      <c r="R6" s="20">
        <v>0.27360000000000001</v>
      </c>
      <c r="S6" s="20">
        <v>0.28670000000000001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8.9899999999999994E-2</v>
      </c>
      <c r="C7" s="24">
        <v>0.1313</v>
      </c>
      <c r="D7" s="24">
        <v>2.37</v>
      </c>
      <c r="E7" s="24">
        <v>6.0068000000000001</v>
      </c>
      <c r="F7" s="24"/>
      <c r="G7" s="24">
        <v>0.1077</v>
      </c>
      <c r="H7" s="24">
        <v>0.13439999999999999</v>
      </c>
      <c r="I7" s="24">
        <v>0.26100000000000001</v>
      </c>
      <c r="J7" s="23">
        <v>1.92</v>
      </c>
      <c r="K7" s="23">
        <v>4</v>
      </c>
      <c r="L7" s="23">
        <v>6.68</v>
      </c>
      <c r="M7" s="23">
        <v>13.63</v>
      </c>
      <c r="N7" s="23">
        <v>15.79</v>
      </c>
      <c r="O7" s="23">
        <v>46.19</v>
      </c>
      <c r="P7" s="23">
        <v>60</v>
      </c>
      <c r="Q7" s="23">
        <v>55</v>
      </c>
      <c r="R7" s="24">
        <v>0.2757</v>
      </c>
      <c r="S7" s="24">
        <v>0.28710000000000002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9.06E-2</v>
      </c>
      <c r="C8" s="20">
        <v>0.1326</v>
      </c>
      <c r="D8" s="20">
        <v>2.3864000000000001</v>
      </c>
      <c r="E8" s="20">
        <v>6.0305</v>
      </c>
      <c r="F8" s="20"/>
      <c r="G8" s="65">
        <v>0.1086</v>
      </c>
      <c r="H8" s="65">
        <v>0.13600000000000001</v>
      </c>
      <c r="I8" s="65">
        <v>0.26340000000000002</v>
      </c>
      <c r="J8" s="19">
        <v>1.9</v>
      </c>
      <c r="K8" s="19">
        <v>3.93</v>
      </c>
      <c r="L8" s="19">
        <v>6.59</v>
      </c>
      <c r="M8" s="19">
        <v>13.49</v>
      </c>
      <c r="N8" s="19">
        <v>15.48</v>
      </c>
      <c r="O8" s="19">
        <v>45.13</v>
      </c>
      <c r="P8" s="19">
        <v>58.48</v>
      </c>
      <c r="Q8" s="19">
        <v>53.73</v>
      </c>
      <c r="R8" s="20">
        <v>0.2767</v>
      </c>
      <c r="S8" s="20">
        <v>0.28839999999999999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9.1200000000000003E-2</v>
      </c>
      <c r="C9" s="20">
        <v>0.13389999999999999</v>
      </c>
      <c r="D9" s="20">
        <v>2.4028</v>
      </c>
      <c r="E9" s="20">
        <v>6.0542999999999996</v>
      </c>
      <c r="F9" s="20"/>
      <c r="G9" s="65">
        <v>0.1094</v>
      </c>
      <c r="H9" s="65">
        <v>0.1376</v>
      </c>
      <c r="I9" s="65">
        <v>0.26569999999999999</v>
      </c>
      <c r="J9" s="19">
        <v>1.88</v>
      </c>
      <c r="K9" s="19">
        <v>3.86</v>
      </c>
      <c r="L9" s="19">
        <v>6.5</v>
      </c>
      <c r="M9" s="19">
        <v>13.34</v>
      </c>
      <c r="N9" s="19">
        <v>15.17</v>
      </c>
      <c r="O9" s="19">
        <v>44.08</v>
      </c>
      <c r="P9" s="19">
        <v>56.95</v>
      </c>
      <c r="Q9" s="19">
        <v>52.46</v>
      </c>
      <c r="R9" s="20">
        <v>0.2777</v>
      </c>
      <c r="S9" s="20">
        <v>0.28970000000000001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9.1899999999999996E-2</v>
      </c>
      <c r="C10" s="20">
        <v>0.13519999999999999</v>
      </c>
      <c r="D10" s="20">
        <v>2.4192</v>
      </c>
      <c r="E10" s="20">
        <v>6.0780000000000003</v>
      </c>
      <c r="F10" s="20"/>
      <c r="G10" s="65">
        <v>0.1103</v>
      </c>
      <c r="H10" s="65">
        <v>0.13930000000000001</v>
      </c>
      <c r="I10" s="65">
        <v>0.2681</v>
      </c>
      <c r="J10" s="19">
        <v>1.86</v>
      </c>
      <c r="K10" s="19">
        <v>3.78</v>
      </c>
      <c r="L10" s="19">
        <v>6.41</v>
      </c>
      <c r="M10" s="19">
        <v>13.2</v>
      </c>
      <c r="N10" s="19">
        <v>14.87</v>
      </c>
      <c r="O10" s="19">
        <v>43.02</v>
      </c>
      <c r="P10" s="19">
        <v>55.43</v>
      </c>
      <c r="Q10" s="19">
        <v>51.18</v>
      </c>
      <c r="R10" s="20">
        <v>0.2787</v>
      </c>
      <c r="S10" s="20">
        <v>0.29099999999999998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9.2499999999999999E-2</v>
      </c>
      <c r="C11" s="20">
        <v>0.13639999999999999</v>
      </c>
      <c r="D11" s="20">
        <v>2.4356</v>
      </c>
      <c r="E11" s="20">
        <v>6.1017000000000001</v>
      </c>
      <c r="F11" s="20"/>
      <c r="G11" s="65">
        <v>0.11119999999999999</v>
      </c>
      <c r="H11" s="65">
        <v>0.1409</v>
      </c>
      <c r="I11" s="65">
        <v>0.27050000000000002</v>
      </c>
      <c r="J11" s="19">
        <v>1.84</v>
      </c>
      <c r="K11" s="19">
        <v>3.71</v>
      </c>
      <c r="L11" s="19">
        <v>6.32</v>
      </c>
      <c r="M11" s="19">
        <v>13.05</v>
      </c>
      <c r="N11" s="19">
        <v>14.56</v>
      </c>
      <c r="O11" s="19">
        <v>41.97</v>
      </c>
      <c r="P11" s="19">
        <v>53.9</v>
      </c>
      <c r="Q11" s="19">
        <v>49.91</v>
      </c>
      <c r="R11" s="20">
        <v>0.2797</v>
      </c>
      <c r="S11" s="20">
        <v>0.2923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9.3200000000000005E-2</v>
      </c>
      <c r="C12" s="29">
        <v>0.13780000000000001</v>
      </c>
      <c r="D12" s="29">
        <v>2.452</v>
      </c>
      <c r="E12" s="29">
        <v>6.1254</v>
      </c>
      <c r="F12" s="29"/>
      <c r="G12" s="29">
        <v>0.11210000000000001</v>
      </c>
      <c r="H12" s="29">
        <v>0.14249999999999999</v>
      </c>
      <c r="I12" s="29">
        <v>0.27289999999999998</v>
      </c>
      <c r="J12" s="28">
        <v>1.82</v>
      </c>
      <c r="K12" s="28">
        <v>3.64</v>
      </c>
      <c r="L12" s="28">
        <v>6.23</v>
      </c>
      <c r="M12" s="28">
        <v>12.91</v>
      </c>
      <c r="N12" s="28">
        <v>14.25</v>
      </c>
      <c r="O12" s="28">
        <v>40.909999999999997</v>
      </c>
      <c r="P12" s="28">
        <v>52.38</v>
      </c>
      <c r="Q12" s="28">
        <v>48.64</v>
      </c>
      <c r="R12" s="29">
        <v>0.28070000000000001</v>
      </c>
      <c r="S12" s="29">
        <v>0.29349999999999998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9.3899999999999997E-2</v>
      </c>
      <c r="C13" s="20">
        <v>0.13900000000000001</v>
      </c>
      <c r="D13" s="20">
        <v>2.4683999999999999</v>
      </c>
      <c r="E13" s="20">
        <v>6.1492000000000004</v>
      </c>
      <c r="F13" s="20"/>
      <c r="G13" s="65">
        <v>0.1129</v>
      </c>
      <c r="H13" s="65">
        <v>0.14410000000000001</v>
      </c>
      <c r="I13" s="65">
        <v>0.2752</v>
      </c>
      <c r="J13" s="19">
        <v>1.8</v>
      </c>
      <c r="K13" s="19">
        <v>3.57</v>
      </c>
      <c r="L13" s="19">
        <v>6.14</v>
      </c>
      <c r="M13" s="19">
        <v>12.76</v>
      </c>
      <c r="N13" s="19">
        <v>13.94</v>
      </c>
      <c r="O13" s="19">
        <v>39.86</v>
      </c>
      <c r="P13" s="19">
        <v>50.86</v>
      </c>
      <c r="Q13" s="19">
        <v>47.37</v>
      </c>
      <c r="R13" s="20">
        <v>0.28170000000000001</v>
      </c>
      <c r="S13" s="20">
        <v>0.29480000000000001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9.4500000000000001E-2</v>
      </c>
      <c r="C14" s="20">
        <v>0.1404</v>
      </c>
      <c r="D14" s="20">
        <v>2.4847999999999999</v>
      </c>
      <c r="E14" s="20">
        <v>6.1729000000000003</v>
      </c>
      <c r="F14" s="20"/>
      <c r="G14" s="65">
        <v>0.1138</v>
      </c>
      <c r="H14" s="65">
        <v>0.14580000000000001</v>
      </c>
      <c r="I14" s="65">
        <v>0.27760000000000001</v>
      </c>
      <c r="J14" s="19">
        <v>1.77</v>
      </c>
      <c r="K14" s="19">
        <v>3.5</v>
      </c>
      <c r="L14" s="19">
        <v>6.04</v>
      </c>
      <c r="M14" s="19">
        <v>12.62</v>
      </c>
      <c r="N14" s="19">
        <v>13.64</v>
      </c>
      <c r="O14" s="19">
        <v>38.799999999999997</v>
      </c>
      <c r="P14" s="19">
        <v>49.33</v>
      </c>
      <c r="Q14" s="19">
        <v>46.1</v>
      </c>
      <c r="R14" s="20">
        <v>0.2828</v>
      </c>
      <c r="S14" s="20">
        <v>0.29609999999999997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9.5200000000000007E-2</v>
      </c>
      <c r="C15" s="20">
        <v>0.14169999999999999</v>
      </c>
      <c r="D15" s="20">
        <v>2.5011999999999999</v>
      </c>
      <c r="E15" s="20">
        <v>6.1966000000000001</v>
      </c>
      <c r="F15" s="20"/>
      <c r="G15" s="65">
        <v>0.1147</v>
      </c>
      <c r="H15" s="65">
        <v>0.1474</v>
      </c>
      <c r="I15" s="65">
        <v>0.28000000000000003</v>
      </c>
      <c r="J15" s="19">
        <v>1.75</v>
      </c>
      <c r="K15" s="19">
        <v>3.42</v>
      </c>
      <c r="L15" s="19">
        <v>5.95</v>
      </c>
      <c r="M15" s="19">
        <v>12.47</v>
      </c>
      <c r="N15" s="19">
        <v>13.33</v>
      </c>
      <c r="O15" s="19">
        <v>37.75</v>
      </c>
      <c r="P15" s="19">
        <v>47.81</v>
      </c>
      <c r="Q15" s="19">
        <v>44.82</v>
      </c>
      <c r="R15" s="20">
        <v>0.2838</v>
      </c>
      <c r="S15" s="20">
        <v>0.2974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9.5799999999999996E-2</v>
      </c>
      <c r="C16" s="20">
        <v>0.1431</v>
      </c>
      <c r="D16" s="20">
        <v>2.5175999999999998</v>
      </c>
      <c r="E16" s="20">
        <v>6.2203999999999997</v>
      </c>
      <c r="F16" s="20"/>
      <c r="G16" s="65">
        <v>0.11550000000000001</v>
      </c>
      <c r="H16" s="65">
        <v>0.14899999999999999</v>
      </c>
      <c r="I16" s="65">
        <v>0.2823</v>
      </c>
      <c r="J16" s="19">
        <v>1.73</v>
      </c>
      <c r="K16" s="19">
        <v>3.35</v>
      </c>
      <c r="L16" s="19">
        <v>5.86</v>
      </c>
      <c r="M16" s="19">
        <v>12.33</v>
      </c>
      <c r="N16" s="19">
        <v>13.02</v>
      </c>
      <c r="O16" s="19">
        <v>36.69</v>
      </c>
      <c r="P16" s="19">
        <v>46.28</v>
      </c>
      <c r="Q16" s="19">
        <v>43.55</v>
      </c>
      <c r="R16" s="20">
        <v>0.2848</v>
      </c>
      <c r="S16" s="20">
        <v>0.29870000000000002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9.6500000000000002E-2</v>
      </c>
      <c r="C17" s="24">
        <v>0.1444</v>
      </c>
      <c r="D17" s="24">
        <v>2.5339999999999998</v>
      </c>
      <c r="E17" s="24">
        <v>6.2441000000000004</v>
      </c>
      <c r="F17" s="24"/>
      <c r="G17" s="24">
        <v>0.1164</v>
      </c>
      <c r="H17" s="24">
        <v>0.15060000000000001</v>
      </c>
      <c r="I17" s="24">
        <v>0.28470000000000001</v>
      </c>
      <c r="J17" s="23">
        <v>1.71</v>
      </c>
      <c r="K17" s="23">
        <v>3.28</v>
      </c>
      <c r="L17" s="23">
        <v>5.77</v>
      </c>
      <c r="M17" s="23">
        <v>12.19</v>
      </c>
      <c r="N17" s="23">
        <v>12.71</v>
      </c>
      <c r="O17" s="23">
        <v>35.630000000000003</v>
      </c>
      <c r="P17" s="23">
        <v>44.76</v>
      </c>
      <c r="Q17" s="23">
        <v>42.28</v>
      </c>
      <c r="R17" s="24">
        <v>0.2858</v>
      </c>
      <c r="S17" s="24">
        <v>0.3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9.7199999999999995E-2</v>
      </c>
      <c r="C18" s="20">
        <v>0.14580000000000001</v>
      </c>
      <c r="D18" s="20">
        <v>2.5503999999999998</v>
      </c>
      <c r="E18" s="20">
        <v>6.2678000000000003</v>
      </c>
      <c r="F18" s="20"/>
      <c r="G18" s="65">
        <v>0.1173</v>
      </c>
      <c r="H18" s="65">
        <v>0.15229999999999999</v>
      </c>
      <c r="I18" s="65">
        <v>0.28710000000000002</v>
      </c>
      <c r="J18" s="19">
        <v>1.69</v>
      </c>
      <c r="K18" s="19">
        <v>3.21</v>
      </c>
      <c r="L18" s="19">
        <v>5.68</v>
      </c>
      <c r="M18" s="19">
        <v>12.04</v>
      </c>
      <c r="N18" s="19">
        <v>12.41</v>
      </c>
      <c r="O18" s="19">
        <v>34.58</v>
      </c>
      <c r="P18" s="19">
        <v>43.24</v>
      </c>
      <c r="Q18" s="19">
        <v>41.01</v>
      </c>
      <c r="R18" s="20">
        <v>0.2868</v>
      </c>
      <c r="S18" s="20">
        <v>0.30130000000000001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9.7799999999999998E-2</v>
      </c>
      <c r="C19" s="20">
        <v>0.14680000000000001</v>
      </c>
      <c r="D19" s="20">
        <v>2.5668000000000002</v>
      </c>
      <c r="E19" s="20">
        <v>6.2915000000000001</v>
      </c>
      <c r="F19" s="20"/>
      <c r="G19" s="65">
        <v>0.1182</v>
      </c>
      <c r="H19" s="65">
        <v>0.15390000000000001</v>
      </c>
      <c r="I19" s="65">
        <v>0.28949999999999998</v>
      </c>
      <c r="J19" s="19">
        <v>1.67</v>
      </c>
      <c r="K19" s="19">
        <v>3.14</v>
      </c>
      <c r="L19" s="19">
        <v>5.59</v>
      </c>
      <c r="M19" s="19">
        <v>11.9</v>
      </c>
      <c r="N19" s="19">
        <v>12.1</v>
      </c>
      <c r="O19" s="19">
        <v>33.520000000000003</v>
      </c>
      <c r="P19" s="19">
        <v>41.71</v>
      </c>
      <c r="Q19" s="19">
        <v>39.74</v>
      </c>
      <c r="R19" s="20">
        <v>0.2878</v>
      </c>
      <c r="S19" s="20">
        <v>0.30259999999999998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9.8500000000000004E-2</v>
      </c>
      <c r="C20" s="20">
        <v>0.1479</v>
      </c>
      <c r="D20" s="20">
        <v>2.5832000000000002</v>
      </c>
      <c r="E20" s="20">
        <v>6.3152999999999997</v>
      </c>
      <c r="F20" s="20"/>
      <c r="G20" s="65">
        <v>0.11899999999999999</v>
      </c>
      <c r="H20" s="65">
        <v>0.1555</v>
      </c>
      <c r="I20" s="65">
        <v>0.2918</v>
      </c>
      <c r="J20" s="19">
        <v>1.65</v>
      </c>
      <c r="K20" s="19">
        <v>3.06</v>
      </c>
      <c r="L20" s="19">
        <v>5.5</v>
      </c>
      <c r="M20" s="19">
        <v>11.75</v>
      </c>
      <c r="N20" s="19">
        <v>11.79</v>
      </c>
      <c r="O20" s="19">
        <v>32.47</v>
      </c>
      <c r="P20" s="19">
        <v>40.19</v>
      </c>
      <c r="Q20" s="19">
        <v>38.46</v>
      </c>
      <c r="R20" s="20">
        <v>0.2888</v>
      </c>
      <c r="S20" s="20">
        <v>0.30380000000000001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9.9099999999999994E-2</v>
      </c>
      <c r="C21" s="20">
        <v>0.1489</v>
      </c>
      <c r="D21" s="20">
        <v>2.5996000000000001</v>
      </c>
      <c r="E21" s="20">
        <v>6.3390000000000004</v>
      </c>
      <c r="F21" s="20"/>
      <c r="G21" s="65">
        <v>0.11990000000000001</v>
      </c>
      <c r="H21" s="65">
        <v>0.15709999999999999</v>
      </c>
      <c r="I21" s="65">
        <v>0.29420000000000002</v>
      </c>
      <c r="J21" s="19">
        <v>1.63</v>
      </c>
      <c r="K21" s="19">
        <v>2.99</v>
      </c>
      <c r="L21" s="19">
        <v>5.41</v>
      </c>
      <c r="M21" s="19">
        <v>11.61</v>
      </c>
      <c r="N21" s="19">
        <v>11.48</v>
      </c>
      <c r="O21" s="19">
        <v>31.41</v>
      </c>
      <c r="P21" s="19">
        <v>38.659999999999997</v>
      </c>
      <c r="Q21" s="19">
        <v>37.19</v>
      </c>
      <c r="R21" s="20">
        <v>0.2898</v>
      </c>
      <c r="S21" s="20">
        <v>0.30509999999999998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9.98E-2</v>
      </c>
      <c r="C22" s="29">
        <v>0.15</v>
      </c>
      <c r="D22" s="29">
        <v>3.016</v>
      </c>
      <c r="E22" s="29">
        <v>6.3627000000000002</v>
      </c>
      <c r="F22" s="29"/>
      <c r="G22" s="29">
        <v>0.1208</v>
      </c>
      <c r="H22" s="29">
        <v>0.1588</v>
      </c>
      <c r="I22" s="29">
        <v>0.29659999999999997</v>
      </c>
      <c r="J22" s="28">
        <v>1.61</v>
      </c>
      <c r="K22" s="28">
        <v>2.92</v>
      </c>
      <c r="L22" s="28">
        <v>5.32</v>
      </c>
      <c r="M22" s="28">
        <v>11.46</v>
      </c>
      <c r="N22" s="28">
        <v>11.18</v>
      </c>
      <c r="O22" s="28">
        <v>30.36</v>
      </c>
      <c r="P22" s="28">
        <v>37.14</v>
      </c>
      <c r="Q22" s="28">
        <v>35.92</v>
      </c>
      <c r="R22" s="29">
        <v>0.2908</v>
      </c>
      <c r="S22" s="29">
        <v>0.30640000000000001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0.10050000000000001</v>
      </c>
      <c r="C23" s="20">
        <v>0.151</v>
      </c>
      <c r="D23" s="20">
        <v>3.0324</v>
      </c>
      <c r="E23" s="20">
        <v>6.3864000000000001</v>
      </c>
      <c r="F23" s="20"/>
      <c r="G23" s="65">
        <v>0.1217</v>
      </c>
      <c r="H23" s="65">
        <v>0.16039999999999999</v>
      </c>
      <c r="I23" s="65">
        <v>0.29899999999999999</v>
      </c>
      <c r="J23" s="19">
        <v>1.59</v>
      </c>
      <c r="K23" s="19">
        <v>2.85</v>
      </c>
      <c r="L23" s="19">
        <v>5.23</v>
      </c>
      <c r="M23" s="19">
        <v>11.32</v>
      </c>
      <c r="N23" s="19">
        <v>10.87</v>
      </c>
      <c r="O23" s="19">
        <v>29.3</v>
      </c>
      <c r="P23" s="19">
        <v>35.619999999999997</v>
      </c>
      <c r="Q23" s="19">
        <v>34.65</v>
      </c>
      <c r="R23" s="20">
        <v>0.2918</v>
      </c>
      <c r="S23" s="20">
        <v>0.30769999999999997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0.1011</v>
      </c>
      <c r="C24" s="20">
        <v>0.152</v>
      </c>
      <c r="D24" s="20">
        <v>3.0488</v>
      </c>
      <c r="E24" s="20">
        <v>6.4101999999999997</v>
      </c>
      <c r="F24" s="20"/>
      <c r="G24" s="65">
        <v>0.1225</v>
      </c>
      <c r="H24" s="65">
        <v>0.16200000000000001</v>
      </c>
      <c r="I24" s="65">
        <v>0.30130000000000001</v>
      </c>
      <c r="J24" s="19">
        <v>1.57</v>
      </c>
      <c r="K24" s="19">
        <v>2.78</v>
      </c>
      <c r="L24" s="19">
        <v>5.14</v>
      </c>
      <c r="M24" s="19">
        <v>11.18</v>
      </c>
      <c r="N24" s="19">
        <v>10.56</v>
      </c>
      <c r="O24" s="19">
        <v>28.24</v>
      </c>
      <c r="P24" s="19">
        <v>34.090000000000003</v>
      </c>
      <c r="Q24" s="19">
        <v>33.380000000000003</v>
      </c>
      <c r="R24" s="20">
        <v>0.2928</v>
      </c>
      <c r="S24" s="20">
        <v>0.309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0.1018</v>
      </c>
      <c r="C25" s="20">
        <v>0.15340000000000001</v>
      </c>
      <c r="D25" s="20">
        <v>3.0651999999999999</v>
      </c>
      <c r="E25" s="20">
        <v>6.4339000000000004</v>
      </c>
      <c r="F25" s="20"/>
      <c r="G25" s="65">
        <v>0.1234</v>
      </c>
      <c r="H25" s="65">
        <v>0.1636</v>
      </c>
      <c r="I25" s="65">
        <v>0.30370000000000003</v>
      </c>
      <c r="J25" s="19">
        <v>1.55</v>
      </c>
      <c r="K25" s="19">
        <v>2.7</v>
      </c>
      <c r="L25" s="19">
        <v>5.05</v>
      </c>
      <c r="M25" s="19">
        <v>11.03</v>
      </c>
      <c r="N25" s="19">
        <v>10.25</v>
      </c>
      <c r="O25" s="19">
        <v>27.19</v>
      </c>
      <c r="P25" s="19">
        <v>32.57</v>
      </c>
      <c r="Q25" s="19">
        <v>32.1</v>
      </c>
      <c r="R25" s="20">
        <v>0.29380000000000001</v>
      </c>
      <c r="S25" s="20">
        <v>0.31030000000000002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0.1024</v>
      </c>
      <c r="C26" s="20">
        <v>0.14480000000000001</v>
      </c>
      <c r="D26" s="20">
        <v>3.0815999999999999</v>
      </c>
      <c r="E26" s="20">
        <v>6.4576000000000002</v>
      </c>
      <c r="F26" s="20"/>
      <c r="G26" s="65">
        <v>0.12429999999999999</v>
      </c>
      <c r="H26" s="65">
        <v>0.1653</v>
      </c>
      <c r="I26" s="65">
        <v>0.30609999999999998</v>
      </c>
      <c r="J26" s="19">
        <v>1.52</v>
      </c>
      <c r="K26" s="19">
        <v>2.63</v>
      </c>
      <c r="L26" s="19">
        <v>4.95</v>
      </c>
      <c r="M26" s="19">
        <v>10.89</v>
      </c>
      <c r="N26" s="19">
        <v>9.9499999999999993</v>
      </c>
      <c r="O26" s="19">
        <v>26.13</v>
      </c>
      <c r="P26" s="19">
        <v>31.04</v>
      </c>
      <c r="Q26" s="19">
        <v>30.83</v>
      </c>
      <c r="R26" s="20">
        <v>0.2949</v>
      </c>
      <c r="S26" s="20">
        <v>0.31159999999999999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0.1031</v>
      </c>
      <c r="C27" s="24">
        <v>0.15609999999999999</v>
      </c>
      <c r="D27" s="24">
        <v>3.0979999999999999</v>
      </c>
      <c r="E27" s="24">
        <v>6.4813999999999998</v>
      </c>
      <c r="F27" s="24"/>
      <c r="G27" s="24">
        <v>0.12509999999999999</v>
      </c>
      <c r="H27" s="24">
        <v>0.16689999999999999</v>
      </c>
      <c r="I27" s="24">
        <v>0.30840000000000001</v>
      </c>
      <c r="J27" s="23">
        <v>1.5</v>
      </c>
      <c r="K27" s="23">
        <v>2.56</v>
      </c>
      <c r="L27" s="23">
        <v>4.8600000000000003</v>
      </c>
      <c r="M27" s="23">
        <v>10.74</v>
      </c>
      <c r="N27" s="23">
        <v>9.64</v>
      </c>
      <c r="O27" s="23">
        <v>25.08</v>
      </c>
      <c r="P27" s="23">
        <v>29.52</v>
      </c>
      <c r="Q27" s="23">
        <v>29.56</v>
      </c>
      <c r="R27" s="24">
        <v>0.2959</v>
      </c>
      <c r="S27" s="24">
        <v>0.31290000000000001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0.1038</v>
      </c>
      <c r="C28" s="20">
        <v>0.1575</v>
      </c>
      <c r="D28" s="20">
        <v>3.1143999999999998</v>
      </c>
      <c r="E28" s="20">
        <v>6.5050999999999997</v>
      </c>
      <c r="F28" s="20"/>
      <c r="G28" s="65">
        <v>0.126</v>
      </c>
      <c r="H28" s="65">
        <v>0.16850000000000001</v>
      </c>
      <c r="I28" s="65">
        <v>0.31080000000000002</v>
      </c>
      <c r="J28" s="19">
        <v>1.48</v>
      </c>
      <c r="K28" s="19">
        <v>2.4900000000000002</v>
      </c>
      <c r="L28" s="19">
        <v>4.7699999999999996</v>
      </c>
      <c r="M28" s="19">
        <v>10.6</v>
      </c>
      <c r="N28" s="19">
        <v>9.33</v>
      </c>
      <c r="O28" s="19">
        <v>24.02</v>
      </c>
      <c r="P28" s="19">
        <v>28</v>
      </c>
      <c r="Q28" s="19">
        <v>28.29</v>
      </c>
      <c r="R28" s="20">
        <v>0.2969</v>
      </c>
      <c r="S28" s="20">
        <v>0.31409999999999999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0.10440000000000001</v>
      </c>
      <c r="C29" s="20">
        <v>0.1588</v>
      </c>
      <c r="D29" s="20">
        <v>3.1307999999999998</v>
      </c>
      <c r="E29" s="20">
        <v>6.5288000000000004</v>
      </c>
      <c r="F29" s="20"/>
      <c r="G29" s="65">
        <v>0.12690000000000001</v>
      </c>
      <c r="H29" s="65">
        <v>0.1701</v>
      </c>
      <c r="I29" s="65">
        <v>0.31319999999999998</v>
      </c>
      <c r="J29" s="19">
        <v>1.46</v>
      </c>
      <c r="K29" s="19">
        <v>2.42</v>
      </c>
      <c r="L29" s="19">
        <v>4.68</v>
      </c>
      <c r="M29" s="19">
        <v>10.45</v>
      </c>
      <c r="N29" s="19">
        <v>9.02</v>
      </c>
      <c r="O29" s="19">
        <v>22.97</v>
      </c>
      <c r="P29" s="19">
        <v>26.47</v>
      </c>
      <c r="Q29" s="19">
        <v>27.02</v>
      </c>
      <c r="R29" s="20">
        <v>0.2979</v>
      </c>
      <c r="S29" s="20">
        <v>0.31540000000000001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0.1051</v>
      </c>
      <c r="C30" s="20">
        <v>0.1598</v>
      </c>
      <c r="D30" s="20">
        <v>3.1472000000000002</v>
      </c>
      <c r="E30" s="20">
        <v>6.5525000000000002</v>
      </c>
      <c r="F30" s="20"/>
      <c r="G30" s="65">
        <v>0.1278</v>
      </c>
      <c r="H30" s="65">
        <v>0.17180000000000001</v>
      </c>
      <c r="I30" s="65">
        <v>0.31559999999999999</v>
      </c>
      <c r="J30" s="19">
        <v>1.44</v>
      </c>
      <c r="K30" s="19">
        <v>2.34</v>
      </c>
      <c r="L30" s="19">
        <v>4.59</v>
      </c>
      <c r="M30" s="19">
        <v>10.31</v>
      </c>
      <c r="N30" s="19">
        <v>8.7200000000000006</v>
      </c>
      <c r="O30" s="19">
        <v>21.91</v>
      </c>
      <c r="P30" s="19">
        <v>24.95</v>
      </c>
      <c r="Q30" s="19">
        <v>25.74</v>
      </c>
      <c r="R30" s="20">
        <v>0.2989</v>
      </c>
      <c r="S30" s="20">
        <v>0.31669999999999998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0.1057</v>
      </c>
      <c r="C31" s="20">
        <v>0.16089999999999999</v>
      </c>
      <c r="D31" s="20">
        <v>3.1636000000000002</v>
      </c>
      <c r="E31" s="20">
        <v>6.5762999999999998</v>
      </c>
      <c r="F31" s="20"/>
      <c r="G31" s="65">
        <v>0.12859999999999999</v>
      </c>
      <c r="H31" s="65">
        <v>0.1734</v>
      </c>
      <c r="I31" s="65">
        <v>0.31790000000000002</v>
      </c>
      <c r="J31" s="19">
        <v>1.42</v>
      </c>
      <c r="K31" s="19">
        <v>2.27</v>
      </c>
      <c r="L31" s="19">
        <v>4.5</v>
      </c>
      <c r="M31" s="19">
        <v>10.16</v>
      </c>
      <c r="N31" s="19">
        <v>8.41</v>
      </c>
      <c r="O31" s="19">
        <v>20.86</v>
      </c>
      <c r="P31" s="19">
        <v>23.42</v>
      </c>
      <c r="Q31" s="19">
        <v>24.47</v>
      </c>
      <c r="R31" s="20">
        <v>0.2999</v>
      </c>
      <c r="S31" s="20">
        <v>0.318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0.10639999999999999</v>
      </c>
      <c r="C32" s="29">
        <v>0.16200000000000001</v>
      </c>
      <c r="D32" s="29">
        <v>3.18</v>
      </c>
      <c r="E32" s="29">
        <v>7</v>
      </c>
      <c r="F32" s="29"/>
      <c r="G32" s="29">
        <v>0.1295</v>
      </c>
      <c r="H32" s="29">
        <v>0.17499999999999999</v>
      </c>
      <c r="I32" s="29">
        <v>0.32029999999999997</v>
      </c>
      <c r="J32" s="28">
        <v>1.4</v>
      </c>
      <c r="K32" s="28">
        <v>2.2000000000000002</v>
      </c>
      <c r="L32" s="28">
        <v>4.41</v>
      </c>
      <c r="M32" s="28">
        <v>10.02</v>
      </c>
      <c r="N32" s="28">
        <v>8.1</v>
      </c>
      <c r="O32" s="28">
        <v>19.8</v>
      </c>
      <c r="P32" s="28">
        <v>21.9</v>
      </c>
      <c r="Q32" s="28">
        <v>23.2</v>
      </c>
      <c r="R32" s="29">
        <v>0.3009</v>
      </c>
      <c r="S32" s="29">
        <v>0.31929999999999997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0.1084</v>
      </c>
      <c r="C33" s="20">
        <v>0.1638</v>
      </c>
      <c r="D33" s="20">
        <v>3.2242000000000002</v>
      </c>
      <c r="E33" s="20">
        <v>7.0868000000000002</v>
      </c>
      <c r="F33" s="20"/>
      <c r="G33" s="65">
        <v>0.13320000000000001</v>
      </c>
      <c r="H33" s="65">
        <v>0.1789</v>
      </c>
      <c r="I33" s="65">
        <v>0.32700000000000001</v>
      </c>
      <c r="J33" s="19">
        <v>1.38</v>
      </c>
      <c r="K33" s="19">
        <v>2.17</v>
      </c>
      <c r="L33" s="19">
        <v>4.3099999999999996</v>
      </c>
      <c r="M33" s="19">
        <v>9.85</v>
      </c>
      <c r="N33" s="19">
        <v>7.88</v>
      </c>
      <c r="O33" s="19">
        <v>19.22</v>
      </c>
      <c r="P33" s="19">
        <v>21.12</v>
      </c>
      <c r="Q33" s="19">
        <v>22.38</v>
      </c>
      <c r="R33" s="20">
        <v>0.30719999999999997</v>
      </c>
      <c r="S33" s="20">
        <v>0.32200000000000001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0.1104</v>
      </c>
      <c r="C34" s="20">
        <v>0.16569999999999999</v>
      </c>
      <c r="D34" s="20">
        <v>3.2684000000000002</v>
      </c>
      <c r="E34" s="20">
        <v>7.1737000000000002</v>
      </c>
      <c r="F34" s="20"/>
      <c r="G34" s="65">
        <v>0.13689999999999999</v>
      </c>
      <c r="H34" s="65">
        <v>0.1827</v>
      </c>
      <c r="I34" s="65">
        <v>0.3337</v>
      </c>
      <c r="J34" s="19">
        <v>1.36</v>
      </c>
      <c r="K34" s="19">
        <v>2.14</v>
      </c>
      <c r="L34" s="19">
        <v>4.2</v>
      </c>
      <c r="M34" s="19">
        <v>9.67</v>
      </c>
      <c r="N34" s="19">
        <v>7.67</v>
      </c>
      <c r="O34" s="19">
        <v>18.64</v>
      </c>
      <c r="P34" s="19">
        <v>20.329999999999998</v>
      </c>
      <c r="Q34" s="19">
        <v>21.56</v>
      </c>
      <c r="R34" s="20">
        <v>0.3135</v>
      </c>
      <c r="S34" s="20">
        <v>0.32469999999999999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0.1125</v>
      </c>
      <c r="C35" s="20">
        <v>0.16750000000000001</v>
      </c>
      <c r="D35" s="20">
        <v>3.3126000000000002</v>
      </c>
      <c r="E35" s="20">
        <v>7.2605000000000004</v>
      </c>
      <c r="F35" s="20"/>
      <c r="G35" s="65">
        <v>0.1406</v>
      </c>
      <c r="H35" s="65">
        <v>0.18659999999999999</v>
      </c>
      <c r="I35" s="65">
        <v>0.34050000000000002</v>
      </c>
      <c r="J35" s="19">
        <v>1.34</v>
      </c>
      <c r="K35" s="19">
        <v>2.11</v>
      </c>
      <c r="L35" s="19">
        <v>4.0999999999999996</v>
      </c>
      <c r="M35" s="19">
        <v>9.5</v>
      </c>
      <c r="N35" s="19">
        <v>7.45</v>
      </c>
      <c r="O35" s="19">
        <v>18.059999999999999</v>
      </c>
      <c r="P35" s="19">
        <v>19.55</v>
      </c>
      <c r="Q35" s="19">
        <v>20.74</v>
      </c>
      <c r="R35" s="20">
        <v>0.31979999999999997</v>
      </c>
      <c r="S35" s="20">
        <v>0.32740000000000002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0.1145</v>
      </c>
      <c r="C36" s="20">
        <v>0.16980000000000001</v>
      </c>
      <c r="D36" s="20">
        <v>3.3567999999999998</v>
      </c>
      <c r="E36" s="20">
        <v>7.3474000000000004</v>
      </c>
      <c r="F36" s="20"/>
      <c r="G36" s="65">
        <v>0.14430000000000001</v>
      </c>
      <c r="H36" s="65">
        <v>0.1905</v>
      </c>
      <c r="I36" s="65">
        <v>0.34720000000000001</v>
      </c>
      <c r="J36" s="19">
        <v>1.32</v>
      </c>
      <c r="K36" s="19">
        <v>2.0699999999999998</v>
      </c>
      <c r="L36" s="19">
        <v>4</v>
      </c>
      <c r="M36" s="19">
        <v>9.32</v>
      </c>
      <c r="N36" s="19">
        <v>7.24</v>
      </c>
      <c r="O36" s="19">
        <v>17.48</v>
      </c>
      <c r="P36" s="19">
        <v>18.760000000000002</v>
      </c>
      <c r="Q36" s="19">
        <v>19.920000000000002</v>
      </c>
      <c r="R36" s="20">
        <v>0.3261</v>
      </c>
      <c r="S36" s="20">
        <v>0.33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0.11650000000000001</v>
      </c>
      <c r="C37" s="24">
        <v>0.17219999999999999</v>
      </c>
      <c r="D37" s="24">
        <v>3.4011</v>
      </c>
      <c r="E37" s="24">
        <v>7.4341999999999997</v>
      </c>
      <c r="F37" s="24"/>
      <c r="G37" s="24">
        <v>0.14810000000000001</v>
      </c>
      <c r="H37" s="24">
        <v>0.1943</v>
      </c>
      <c r="I37" s="24">
        <v>0.35389999999999999</v>
      </c>
      <c r="J37" s="23">
        <v>1.3</v>
      </c>
      <c r="K37" s="23">
        <v>2.04</v>
      </c>
      <c r="L37" s="23">
        <v>3.89</v>
      </c>
      <c r="M37" s="23">
        <v>9.15</v>
      </c>
      <c r="N37" s="23">
        <v>7.02</v>
      </c>
      <c r="O37" s="23">
        <v>16.91</v>
      </c>
      <c r="P37" s="23">
        <v>17.98</v>
      </c>
      <c r="Q37" s="23">
        <v>19.09</v>
      </c>
      <c r="R37" s="24">
        <v>0.33239999999999997</v>
      </c>
      <c r="S37" s="24">
        <v>0.3327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0.11849999999999999</v>
      </c>
      <c r="C38" s="20">
        <v>0.17449999999999999</v>
      </c>
      <c r="D38" s="20">
        <v>3.4453</v>
      </c>
      <c r="E38" s="20">
        <v>7.5210999999999997</v>
      </c>
      <c r="F38" s="20"/>
      <c r="G38" s="65">
        <v>0.15179999999999999</v>
      </c>
      <c r="H38" s="65">
        <v>0.19819999999999999</v>
      </c>
      <c r="I38" s="65">
        <v>0.36059999999999998</v>
      </c>
      <c r="J38" s="19">
        <v>1.28</v>
      </c>
      <c r="K38" s="19">
        <v>2.0099999999999998</v>
      </c>
      <c r="L38" s="19">
        <v>3.79</v>
      </c>
      <c r="M38" s="19">
        <v>8.9700000000000006</v>
      </c>
      <c r="N38" s="19">
        <v>6.81</v>
      </c>
      <c r="O38" s="19">
        <v>16.329999999999998</v>
      </c>
      <c r="P38" s="19">
        <v>17.190000000000001</v>
      </c>
      <c r="Q38" s="19">
        <v>18.27</v>
      </c>
      <c r="R38" s="20">
        <v>0.3387</v>
      </c>
      <c r="S38" s="20">
        <v>0.33539999999999998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0.1205</v>
      </c>
      <c r="C39" s="20">
        <v>0.17680000000000001</v>
      </c>
      <c r="D39" s="20">
        <v>3.4895</v>
      </c>
      <c r="E39" s="20">
        <v>8.0078999999999994</v>
      </c>
      <c r="F39" s="20"/>
      <c r="G39" s="65">
        <v>0.1555</v>
      </c>
      <c r="H39" s="65">
        <v>0.20200000000000001</v>
      </c>
      <c r="I39" s="65">
        <v>0.36730000000000002</v>
      </c>
      <c r="J39" s="19">
        <v>1.26</v>
      </c>
      <c r="K39" s="19">
        <v>1.98</v>
      </c>
      <c r="L39" s="19">
        <v>3.68</v>
      </c>
      <c r="M39" s="19">
        <v>8.8000000000000007</v>
      </c>
      <c r="N39" s="19">
        <v>6.59</v>
      </c>
      <c r="O39" s="19">
        <v>15.75</v>
      </c>
      <c r="P39" s="19">
        <v>16.41</v>
      </c>
      <c r="Q39" s="19">
        <v>17.45</v>
      </c>
      <c r="R39" s="20">
        <v>0.34499999999999997</v>
      </c>
      <c r="S39" s="20">
        <v>0.33810000000000001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0.1226</v>
      </c>
      <c r="C40" s="20">
        <v>0.1792</v>
      </c>
      <c r="D40" s="20">
        <v>3.5337000000000001</v>
      </c>
      <c r="E40" s="20">
        <v>8.0946999999999996</v>
      </c>
      <c r="F40" s="20"/>
      <c r="G40" s="65">
        <v>0.15920000000000001</v>
      </c>
      <c r="H40" s="65">
        <v>0.2059</v>
      </c>
      <c r="I40" s="65">
        <v>0.37409999999999999</v>
      </c>
      <c r="J40" s="19">
        <v>1.24</v>
      </c>
      <c r="K40" s="19">
        <v>1.95</v>
      </c>
      <c r="L40" s="19">
        <v>3.58</v>
      </c>
      <c r="M40" s="19">
        <v>8.6199999999999992</v>
      </c>
      <c r="N40" s="19">
        <v>6.37</v>
      </c>
      <c r="O40" s="19">
        <v>15.17</v>
      </c>
      <c r="P40" s="19">
        <v>15.63</v>
      </c>
      <c r="Q40" s="19">
        <v>16.63</v>
      </c>
      <c r="R40" s="20">
        <v>0.3513</v>
      </c>
      <c r="S40" s="20">
        <v>0.34079999999999999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0.1246</v>
      </c>
      <c r="C41" s="20">
        <v>0.18149999999999999</v>
      </c>
      <c r="D41" s="20">
        <v>3.5779000000000001</v>
      </c>
      <c r="E41" s="20">
        <v>8.1815999999999995</v>
      </c>
      <c r="F41" s="20"/>
      <c r="G41" s="65">
        <v>0.16289999999999999</v>
      </c>
      <c r="H41" s="65">
        <v>0.20979999999999999</v>
      </c>
      <c r="I41" s="65">
        <v>0.38080000000000003</v>
      </c>
      <c r="J41" s="19">
        <v>1.22</v>
      </c>
      <c r="K41" s="19">
        <v>1.92</v>
      </c>
      <c r="L41" s="19">
        <v>3.48</v>
      </c>
      <c r="M41" s="19">
        <v>8.4499999999999993</v>
      </c>
      <c r="N41" s="19">
        <v>6.16</v>
      </c>
      <c r="O41" s="19">
        <v>14.59</v>
      </c>
      <c r="P41" s="19">
        <v>14.84</v>
      </c>
      <c r="Q41" s="19">
        <v>15.81</v>
      </c>
      <c r="R41" s="20">
        <v>0.35759999999999997</v>
      </c>
      <c r="S41" s="20">
        <v>0.34350000000000003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0.12659999999999999</v>
      </c>
      <c r="C42" s="29">
        <v>0.1847</v>
      </c>
      <c r="D42" s="29">
        <v>4.0221</v>
      </c>
      <c r="E42" s="29">
        <v>8.2683999999999997</v>
      </c>
      <c r="F42" s="29"/>
      <c r="G42" s="29">
        <v>0.1666</v>
      </c>
      <c r="H42" s="29">
        <v>0.21360000000000001</v>
      </c>
      <c r="I42" s="29">
        <v>0.38750000000000001</v>
      </c>
      <c r="J42" s="28">
        <v>1.2</v>
      </c>
      <c r="K42" s="28">
        <v>1.88</v>
      </c>
      <c r="L42" s="28">
        <v>3.37</v>
      </c>
      <c r="M42" s="28">
        <v>8.27</v>
      </c>
      <c r="N42" s="28">
        <v>5.94</v>
      </c>
      <c r="O42" s="28">
        <v>14.01</v>
      </c>
      <c r="P42" s="28">
        <v>14.06</v>
      </c>
      <c r="Q42" s="28">
        <v>14.99</v>
      </c>
      <c r="R42" s="29">
        <v>0.3639</v>
      </c>
      <c r="S42" s="29">
        <v>0.34610000000000002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0.12859999999999999</v>
      </c>
      <c r="C43" s="20">
        <v>0.18779999999999999</v>
      </c>
      <c r="D43" s="20">
        <v>4.0663</v>
      </c>
      <c r="E43" s="20">
        <v>8.3552999999999997</v>
      </c>
      <c r="F43" s="20"/>
      <c r="G43" s="65">
        <v>0.17030000000000001</v>
      </c>
      <c r="H43" s="65">
        <v>0.2175</v>
      </c>
      <c r="I43" s="65">
        <v>0.39419999999999999</v>
      </c>
      <c r="J43" s="19">
        <v>1.18</v>
      </c>
      <c r="K43" s="19">
        <v>1.85</v>
      </c>
      <c r="L43" s="19">
        <v>3.27</v>
      </c>
      <c r="M43" s="19">
        <v>8.1</v>
      </c>
      <c r="N43" s="19">
        <v>5.73</v>
      </c>
      <c r="O43" s="19">
        <v>13.43</v>
      </c>
      <c r="P43" s="19">
        <v>13.27</v>
      </c>
      <c r="Q43" s="19">
        <v>14.17</v>
      </c>
      <c r="R43" s="20">
        <v>0.37019999999999997</v>
      </c>
      <c r="S43" s="20">
        <v>0.3488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0.13070000000000001</v>
      </c>
      <c r="C44" s="20">
        <v>0.19089999999999999</v>
      </c>
      <c r="D44" s="20">
        <v>4.1105</v>
      </c>
      <c r="E44" s="20">
        <v>8.4420999999999999</v>
      </c>
      <c r="F44" s="20"/>
      <c r="G44" s="65">
        <v>0.17399999999999999</v>
      </c>
      <c r="H44" s="65">
        <v>0.22140000000000001</v>
      </c>
      <c r="I44" s="65">
        <v>0.40100000000000002</v>
      </c>
      <c r="J44" s="19">
        <v>1.1599999999999999</v>
      </c>
      <c r="K44" s="19">
        <v>1.82</v>
      </c>
      <c r="L44" s="19">
        <v>3.17</v>
      </c>
      <c r="M44" s="19">
        <v>7.92</v>
      </c>
      <c r="N44" s="19">
        <v>5.51</v>
      </c>
      <c r="O44" s="19">
        <v>12.85</v>
      </c>
      <c r="P44" s="19">
        <v>12.49</v>
      </c>
      <c r="Q44" s="19">
        <v>13.35</v>
      </c>
      <c r="R44" s="20">
        <v>0.3765</v>
      </c>
      <c r="S44" s="20">
        <v>0.35149999999999998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0.13270000000000001</v>
      </c>
      <c r="C45" s="20">
        <v>0.19400000000000001</v>
      </c>
      <c r="D45" s="20">
        <v>4.1547000000000001</v>
      </c>
      <c r="E45" s="20">
        <v>8.5289000000000001</v>
      </c>
      <c r="F45" s="20"/>
      <c r="G45" s="65">
        <v>0.1777</v>
      </c>
      <c r="H45" s="65">
        <v>0.22520000000000001</v>
      </c>
      <c r="I45" s="65">
        <v>0.40770000000000001</v>
      </c>
      <c r="J45" s="19">
        <v>1.1399999999999999</v>
      </c>
      <c r="K45" s="19">
        <v>1.79</v>
      </c>
      <c r="L45" s="19">
        <v>3.06</v>
      </c>
      <c r="M45" s="19">
        <v>7.75</v>
      </c>
      <c r="N45" s="19">
        <v>5.29</v>
      </c>
      <c r="O45" s="19">
        <v>12.27</v>
      </c>
      <c r="P45" s="19">
        <v>11.71</v>
      </c>
      <c r="Q45" s="19">
        <v>12.53</v>
      </c>
      <c r="R45" s="20">
        <v>0.38279999999999997</v>
      </c>
      <c r="S45" s="20">
        <v>0.35420000000000001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0.13469999999999999</v>
      </c>
      <c r="C46" s="20">
        <v>0.1991</v>
      </c>
      <c r="D46" s="20">
        <v>4.1989000000000001</v>
      </c>
      <c r="E46" s="20">
        <v>9.0158000000000005</v>
      </c>
      <c r="F46" s="20"/>
      <c r="G46" s="65">
        <v>0.18140000000000001</v>
      </c>
      <c r="H46" s="65">
        <v>0.2291</v>
      </c>
      <c r="I46" s="65">
        <v>0.41439999999999999</v>
      </c>
      <c r="J46" s="19">
        <v>1.1200000000000001</v>
      </c>
      <c r="K46" s="19">
        <v>1.76</v>
      </c>
      <c r="L46" s="19">
        <v>2.96</v>
      </c>
      <c r="M46" s="19">
        <v>7.57</v>
      </c>
      <c r="N46" s="19">
        <v>5.08</v>
      </c>
      <c r="O46" s="19">
        <v>11.69</v>
      </c>
      <c r="P46" s="19">
        <v>10.92</v>
      </c>
      <c r="Q46" s="19">
        <v>11.71</v>
      </c>
      <c r="R46" s="20">
        <v>0.3891</v>
      </c>
      <c r="S46" s="20">
        <v>0.3569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0.13669999999999999</v>
      </c>
      <c r="C47" s="24">
        <v>0.20610000000000001</v>
      </c>
      <c r="D47" s="24">
        <v>4.2431999999999999</v>
      </c>
      <c r="E47" s="24">
        <v>9.1026000000000007</v>
      </c>
      <c r="F47" s="24"/>
      <c r="G47" s="24">
        <v>0.1852</v>
      </c>
      <c r="H47" s="24">
        <v>0.2329</v>
      </c>
      <c r="I47" s="24">
        <v>0.42109999999999997</v>
      </c>
      <c r="J47" s="23">
        <v>1.1000000000000001</v>
      </c>
      <c r="K47" s="23">
        <v>1.73</v>
      </c>
      <c r="L47" s="23">
        <v>2.85</v>
      </c>
      <c r="M47" s="23">
        <v>7.4</v>
      </c>
      <c r="N47" s="23">
        <v>4.8600000000000003</v>
      </c>
      <c r="O47" s="23">
        <v>11.12</v>
      </c>
      <c r="P47" s="23">
        <v>10.14</v>
      </c>
      <c r="Q47" s="23">
        <v>10.88</v>
      </c>
      <c r="R47" s="24">
        <v>0.39539999999999997</v>
      </c>
      <c r="S47" s="24">
        <v>0.35959999999999998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0.13869999999999999</v>
      </c>
      <c r="C48" s="20">
        <v>0.21160000000000001</v>
      </c>
      <c r="D48" s="20">
        <v>4.2873999999999999</v>
      </c>
      <c r="E48" s="20">
        <v>9.1895000000000007</v>
      </c>
      <c r="F48" s="20"/>
      <c r="G48" s="20">
        <v>0.18890000000000001</v>
      </c>
      <c r="H48" s="20">
        <v>0.23680000000000001</v>
      </c>
      <c r="I48" s="20">
        <v>0.42780000000000001</v>
      </c>
      <c r="J48" s="19">
        <v>1.08</v>
      </c>
      <c r="K48" s="19">
        <v>1.69</v>
      </c>
      <c r="L48" s="19">
        <v>2.75</v>
      </c>
      <c r="M48" s="19">
        <v>7.22</v>
      </c>
      <c r="N48" s="19">
        <v>4.6500000000000004</v>
      </c>
      <c r="O48" s="19">
        <v>10.54</v>
      </c>
      <c r="P48" s="19">
        <v>9.35</v>
      </c>
      <c r="Q48" s="19">
        <v>10.06</v>
      </c>
      <c r="R48" s="20">
        <v>0.4017</v>
      </c>
      <c r="S48" s="20">
        <v>0.36220000000000002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0.14080000000000001</v>
      </c>
      <c r="C49" s="20">
        <v>0.2152</v>
      </c>
      <c r="D49" s="20">
        <v>4.3315999999999999</v>
      </c>
      <c r="E49" s="20">
        <v>9.2763000000000009</v>
      </c>
      <c r="F49" s="20"/>
      <c r="G49" s="20">
        <v>0.19259999999999999</v>
      </c>
      <c r="H49" s="20">
        <v>0.2407</v>
      </c>
      <c r="I49" s="20">
        <v>0.43459999999999999</v>
      </c>
      <c r="J49" s="19">
        <v>1.06</v>
      </c>
      <c r="K49" s="19">
        <v>1.66</v>
      </c>
      <c r="L49" s="19">
        <v>2.65</v>
      </c>
      <c r="M49" s="19">
        <v>7.05</v>
      </c>
      <c r="N49" s="19">
        <v>4.43</v>
      </c>
      <c r="O49" s="19">
        <v>9.9600000000000009</v>
      </c>
      <c r="P49" s="19">
        <v>8.57</v>
      </c>
      <c r="Q49" s="19">
        <v>9.24</v>
      </c>
      <c r="R49" s="20">
        <v>0.40799999999999997</v>
      </c>
      <c r="S49" s="20">
        <v>0.3649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0.14280000000000001</v>
      </c>
      <c r="C50" s="20">
        <v>0.21879999999999999</v>
      </c>
      <c r="D50" s="20">
        <v>4.3757999999999999</v>
      </c>
      <c r="E50" s="20">
        <v>9.3632000000000009</v>
      </c>
      <c r="F50" s="20"/>
      <c r="G50" s="20">
        <v>0.1963</v>
      </c>
      <c r="H50" s="20">
        <v>0.2445</v>
      </c>
      <c r="I50" s="20">
        <v>0.44130000000000003</v>
      </c>
      <c r="J50" s="19">
        <v>1.04</v>
      </c>
      <c r="K50" s="19">
        <v>1.63</v>
      </c>
      <c r="L50" s="19">
        <v>2.54</v>
      </c>
      <c r="M50" s="19">
        <v>6.87</v>
      </c>
      <c r="N50" s="19">
        <v>4.22</v>
      </c>
      <c r="O50" s="19">
        <v>9.3800000000000008</v>
      </c>
      <c r="P50" s="19">
        <v>7.78</v>
      </c>
      <c r="Q50" s="19">
        <v>8.42</v>
      </c>
      <c r="R50" s="20">
        <v>0.4143</v>
      </c>
      <c r="S50" s="20">
        <v>0.36759999999999998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27" t="s">
        <v>34</v>
      </c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9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30</v>
      </c>
      <c r="B1" s="9" t="s">
        <v>30</v>
      </c>
      <c r="C1" s="5" t="s">
        <v>18</v>
      </c>
    </row>
    <row r="2" spans="1:3" x14ac:dyDescent="0.3">
      <c r="A2" s="10" t="s">
        <v>38</v>
      </c>
      <c r="B2" s="9" t="s">
        <v>38</v>
      </c>
      <c r="C2" s="5" t="s">
        <v>19</v>
      </c>
    </row>
    <row r="3" spans="1:3" x14ac:dyDescent="0.3">
      <c r="A3" s="10" t="s">
        <v>31</v>
      </c>
      <c r="B3" s="9" t="s">
        <v>31</v>
      </c>
    </row>
    <row r="4" spans="1:3" x14ac:dyDescent="0.3">
      <c r="A4" s="10" t="s">
        <v>32</v>
      </c>
      <c r="B4" s="9" t="s">
        <v>32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Min_F</vt:lpstr>
      <vt:lpstr>Min_G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2021-04-29T18:35:46Z</cp:lastPrinted>
  <dcterms:created xsi:type="dcterms:W3CDTF">2019-05-24T15:32:38Z</dcterms:created>
  <dcterms:modified xsi:type="dcterms:W3CDTF">2024-02-29T15:22:04Z</dcterms:modified>
</cp:coreProperties>
</file>